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aacos.sharepoint.com/sites/NAACOSDocuments/Shared Documents/Advocacy/Quality/Slides and meeting materials (non Quality Committee meetings)/Spring 2025 preconference/"/>
    </mc:Choice>
  </mc:AlternateContent>
  <xr:revisionPtr revIDLastSave="3" documentId="8_{78380FAD-A685-4933-942C-5B6E747FA727}" xr6:coauthVersionLast="47" xr6:coauthVersionMax="47" xr10:uidLastSave="{5B7D4BD4-DCC2-45A0-A311-DEFB3FB4F122}"/>
  <bookViews>
    <workbookView xWindow="-110" yWindow="-110" windowWidth="19420" windowHeight="11500" activeTab="1" xr2:uid="{00000000-000D-0000-FFFF-FFFF00000000}"/>
  </bookViews>
  <sheets>
    <sheet name="List and Scoring" sheetId="3" r:id="rId1"/>
    <sheet name="Rubric" sheetId="2" r:id="rId2"/>
    <sheet name="List and Scoring (2)" sheetId="5" state="hidden" r:id="rId3"/>
    <sheet name="Rubric (2)" sheetId="4" state="hidden" r:id="rId4"/>
    <sheet name="List and Scoring (3)" sheetId="6" state="hidden" r:id="rId5"/>
    <sheet name="Rubric (3)" sheetId="7" state="hidden" r:id="rId6"/>
    <sheet name="Sheet1" sheetId="8" state="hidden" r:id="rId7"/>
  </sheets>
  <definedNames>
    <definedName name="_xlnm._FilterDatabase" localSheetId="0" hidden="1">'List and Scoring'!$A$2:$I$22</definedName>
    <definedName name="_xlnm._FilterDatabase" localSheetId="2" hidden="1">'List and Scoring (2)'!$A$2:$Z$22</definedName>
    <definedName name="_xlnm._FilterDatabase" localSheetId="4" hidden="1">'List and Scoring (3)'!$A$2:$Z$22</definedName>
    <definedName name="_xlnm.Print_Area" localSheetId="0">'List and Scoring'!$A$1:$I$22</definedName>
    <definedName name="_xlnm.Print_Area" localSheetId="2">'List and Scoring (2)'!$A$1:$Y$22</definedName>
    <definedName name="_xlnm.Print_Area" localSheetId="4">'List and Scoring (3)'!$A$1:$Y$22</definedName>
    <definedName name="_xlnm.Print_Titles" localSheetId="0">'List and Scoring'!$2:$2</definedName>
    <definedName name="_xlnm.Print_Titles" localSheetId="2">'List and Scoring (2)'!$2:$2</definedName>
    <definedName name="_xlnm.Print_Titles" localSheetId="4">'List and Scoring (3)'!$2:$2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3" l="1"/>
  <c r="G19" i="3"/>
  <c r="F19" i="3"/>
  <c r="S115" i="6"/>
  <c r="P115" i="6"/>
  <c r="S114" i="6"/>
  <c r="P114" i="6"/>
  <c r="S113" i="6"/>
  <c r="P113" i="6"/>
  <c r="S112" i="6"/>
  <c r="P112" i="6"/>
  <c r="S111" i="6"/>
  <c r="P111" i="6"/>
  <c r="S110" i="6"/>
  <c r="P110" i="6"/>
  <c r="S109" i="6"/>
  <c r="P109" i="6"/>
  <c r="S108" i="6"/>
  <c r="P108" i="6"/>
  <c r="S107" i="6"/>
  <c r="P107" i="6"/>
  <c r="S106" i="6"/>
  <c r="P106" i="6"/>
  <c r="S105" i="6"/>
  <c r="P105" i="6"/>
  <c r="S104" i="6"/>
  <c r="P104" i="6"/>
  <c r="S103" i="6"/>
  <c r="P103" i="6"/>
  <c r="S102" i="6"/>
  <c r="P102" i="6"/>
  <c r="S101" i="6"/>
  <c r="P101" i="6"/>
  <c r="S100" i="6"/>
  <c r="P100" i="6"/>
  <c r="S99" i="6"/>
  <c r="P99" i="6"/>
  <c r="S98" i="6"/>
  <c r="P98" i="6"/>
  <c r="S97" i="6"/>
  <c r="P97" i="6"/>
  <c r="S96" i="6"/>
  <c r="P96" i="6"/>
  <c r="S95" i="6"/>
  <c r="P95" i="6"/>
  <c r="S94" i="6"/>
  <c r="P94" i="6"/>
  <c r="S93" i="6"/>
  <c r="P93" i="6"/>
  <c r="S92" i="6"/>
  <c r="P92" i="6"/>
  <c r="S91" i="6"/>
  <c r="P91" i="6"/>
  <c r="S90" i="6"/>
  <c r="P90" i="6"/>
  <c r="S89" i="6"/>
  <c r="P89" i="6"/>
  <c r="S88" i="6"/>
  <c r="P88" i="6"/>
  <c r="S87" i="6"/>
  <c r="P87" i="6"/>
  <c r="S86" i="6"/>
  <c r="P86" i="6"/>
  <c r="S85" i="6"/>
  <c r="P85" i="6"/>
  <c r="S84" i="6"/>
  <c r="P84" i="6"/>
  <c r="S83" i="6"/>
  <c r="P83" i="6"/>
  <c r="S82" i="6"/>
  <c r="P82" i="6"/>
  <c r="S81" i="6"/>
  <c r="P81" i="6"/>
  <c r="S80" i="6"/>
  <c r="P80" i="6"/>
  <c r="S79" i="6"/>
  <c r="P79" i="6"/>
  <c r="S78" i="6"/>
  <c r="P78" i="6"/>
  <c r="S77" i="6"/>
  <c r="P77" i="6"/>
  <c r="S76" i="6"/>
  <c r="P76" i="6"/>
  <c r="S75" i="6"/>
  <c r="P75" i="6"/>
  <c r="S74" i="6"/>
  <c r="P74" i="6"/>
  <c r="S73" i="6"/>
  <c r="P73" i="6"/>
  <c r="S72" i="6"/>
  <c r="P72" i="6"/>
  <c r="S71" i="6"/>
  <c r="P71" i="6"/>
  <c r="S70" i="6"/>
  <c r="P70" i="6"/>
  <c r="S69" i="6"/>
  <c r="P69" i="6"/>
  <c r="S68" i="6"/>
  <c r="P68" i="6"/>
  <c r="S67" i="6"/>
  <c r="P67" i="6"/>
  <c r="S66" i="6"/>
  <c r="P66" i="6"/>
  <c r="S65" i="6"/>
  <c r="P65" i="6"/>
  <c r="S64" i="6"/>
  <c r="P64" i="6"/>
  <c r="S63" i="6"/>
  <c r="P63" i="6"/>
  <c r="S62" i="6"/>
  <c r="P62" i="6"/>
  <c r="S61" i="6"/>
  <c r="P61" i="6"/>
  <c r="S60" i="6"/>
  <c r="P60" i="6"/>
  <c r="S59" i="6"/>
  <c r="P59" i="6"/>
  <c r="S58" i="6"/>
  <c r="P58" i="6"/>
  <c r="S57" i="6"/>
  <c r="P57" i="6"/>
  <c r="S56" i="6"/>
  <c r="P56" i="6"/>
  <c r="S55" i="6"/>
  <c r="P55" i="6"/>
  <c r="S54" i="6"/>
  <c r="P54" i="6"/>
  <c r="S53" i="6"/>
  <c r="P53" i="6"/>
  <c r="S52" i="6"/>
  <c r="P52" i="6"/>
  <c r="S51" i="6"/>
  <c r="P51" i="6"/>
  <c r="S50" i="6"/>
  <c r="P50" i="6"/>
  <c r="S49" i="6"/>
  <c r="P49" i="6"/>
  <c r="S48" i="6"/>
  <c r="P48" i="6"/>
  <c r="S47" i="6"/>
  <c r="P47" i="6"/>
  <c r="S46" i="6"/>
  <c r="P46" i="6"/>
  <c r="S45" i="6"/>
  <c r="P45" i="6"/>
  <c r="S44" i="6"/>
  <c r="P44" i="6"/>
  <c r="S43" i="6"/>
  <c r="P43" i="6"/>
  <c r="S42" i="6"/>
  <c r="P42" i="6"/>
  <c r="S41" i="6"/>
  <c r="P41" i="6"/>
  <c r="S40" i="6"/>
  <c r="P40" i="6"/>
  <c r="S39" i="6"/>
  <c r="P39" i="6"/>
  <c r="S38" i="6"/>
  <c r="P38" i="6"/>
  <c r="S37" i="6"/>
  <c r="P37" i="6"/>
  <c r="S36" i="6"/>
  <c r="P36" i="6"/>
  <c r="S35" i="6"/>
  <c r="P35" i="6"/>
  <c r="S34" i="6"/>
  <c r="P34" i="6"/>
  <c r="S33" i="6"/>
  <c r="P33" i="6"/>
  <c r="S32" i="6"/>
  <c r="P32" i="6"/>
  <c r="S31" i="6"/>
  <c r="P31" i="6"/>
  <c r="S30" i="6"/>
  <c r="P30" i="6"/>
  <c r="S27" i="6"/>
  <c r="P27" i="6"/>
  <c r="T26" i="6"/>
  <c r="S26" i="6"/>
  <c r="O26" i="6"/>
  <c r="N26" i="6"/>
  <c r="P26" i="6" s="1"/>
  <c r="S25" i="6"/>
  <c r="P25" i="6"/>
  <c r="T24" i="6"/>
  <c r="S24" i="6"/>
  <c r="P24" i="6"/>
  <c r="T23" i="6"/>
  <c r="S23" i="6"/>
  <c r="N23" i="6"/>
  <c r="P23" i="6" s="1"/>
  <c r="S22" i="6"/>
  <c r="P22" i="6"/>
  <c r="O22" i="6"/>
  <c r="N22" i="6"/>
  <c r="S21" i="6"/>
  <c r="P21" i="6"/>
  <c r="S20" i="6"/>
  <c r="P20" i="6"/>
  <c r="S19" i="6"/>
  <c r="P19" i="6"/>
  <c r="T18" i="6"/>
  <c r="S18" i="6"/>
  <c r="P18" i="6"/>
  <c r="T17" i="6"/>
  <c r="S17" i="6"/>
  <c r="P17" i="6"/>
  <c r="T16" i="6"/>
  <c r="S16" i="6"/>
  <c r="P16" i="6"/>
  <c r="T15" i="6"/>
  <c r="S15" i="6"/>
  <c r="P15" i="6"/>
  <c r="T14" i="6"/>
  <c r="S14" i="6"/>
  <c r="P14" i="6"/>
  <c r="T13" i="6"/>
  <c r="S13" i="6"/>
  <c r="P13" i="6"/>
  <c r="S12" i="6"/>
  <c r="N12" i="6"/>
  <c r="P12" i="6" s="1"/>
  <c r="S11" i="6"/>
  <c r="P11" i="6"/>
  <c r="S10" i="6"/>
  <c r="P10" i="6"/>
  <c r="R9" i="6"/>
  <c r="S9" i="6" s="1"/>
  <c r="O9" i="6"/>
  <c r="P9" i="6" s="1"/>
  <c r="S8" i="6"/>
  <c r="P8" i="6"/>
  <c r="S7" i="6"/>
  <c r="P7" i="6"/>
  <c r="S6" i="6"/>
  <c r="P6" i="6"/>
  <c r="S5" i="6"/>
  <c r="P5" i="6"/>
  <c r="S4" i="6"/>
  <c r="R4" i="6"/>
  <c r="P4" i="6"/>
  <c r="O4" i="6"/>
  <c r="R3" i="6"/>
  <c r="S3" i="6" s="1"/>
  <c r="P3" i="6"/>
  <c r="S115" i="5"/>
  <c r="P115" i="5"/>
  <c r="S114" i="5"/>
  <c r="P114" i="5"/>
  <c r="S113" i="5"/>
  <c r="P113" i="5"/>
  <c r="S112" i="5"/>
  <c r="P112" i="5"/>
  <c r="S111" i="5"/>
  <c r="P111" i="5"/>
  <c r="S110" i="5"/>
  <c r="P110" i="5"/>
  <c r="S109" i="5"/>
  <c r="P109" i="5"/>
  <c r="S108" i="5"/>
  <c r="P108" i="5"/>
  <c r="S107" i="5"/>
  <c r="P107" i="5"/>
  <c r="S106" i="5"/>
  <c r="P106" i="5"/>
  <c r="S105" i="5"/>
  <c r="P105" i="5"/>
  <c r="S104" i="5"/>
  <c r="P104" i="5"/>
  <c r="S103" i="5"/>
  <c r="P103" i="5"/>
  <c r="S102" i="5"/>
  <c r="P102" i="5"/>
  <c r="S101" i="5"/>
  <c r="P101" i="5"/>
  <c r="S100" i="5"/>
  <c r="P100" i="5"/>
  <c r="S99" i="5"/>
  <c r="P99" i="5"/>
  <c r="S98" i="5"/>
  <c r="P98" i="5"/>
  <c r="S97" i="5"/>
  <c r="P97" i="5"/>
  <c r="S96" i="5"/>
  <c r="P96" i="5"/>
  <c r="S95" i="5"/>
  <c r="P95" i="5"/>
  <c r="S94" i="5"/>
  <c r="P94" i="5"/>
  <c r="S93" i="5"/>
  <c r="P93" i="5"/>
  <c r="S92" i="5"/>
  <c r="P92" i="5"/>
  <c r="S91" i="5"/>
  <c r="P91" i="5"/>
  <c r="S90" i="5"/>
  <c r="P90" i="5"/>
  <c r="S89" i="5"/>
  <c r="P89" i="5"/>
  <c r="S88" i="5"/>
  <c r="P88" i="5"/>
  <c r="S87" i="5"/>
  <c r="P87" i="5"/>
  <c r="S86" i="5"/>
  <c r="P86" i="5"/>
  <c r="S85" i="5"/>
  <c r="P85" i="5"/>
  <c r="S84" i="5"/>
  <c r="P84" i="5"/>
  <c r="S83" i="5"/>
  <c r="P83" i="5"/>
  <c r="S82" i="5"/>
  <c r="P82" i="5"/>
  <c r="S81" i="5"/>
  <c r="P81" i="5"/>
  <c r="S80" i="5"/>
  <c r="P80" i="5"/>
  <c r="S79" i="5"/>
  <c r="P79" i="5"/>
  <c r="S78" i="5"/>
  <c r="P78" i="5"/>
  <c r="S77" i="5"/>
  <c r="P77" i="5"/>
  <c r="S76" i="5"/>
  <c r="P76" i="5"/>
  <c r="S75" i="5"/>
  <c r="P75" i="5"/>
  <c r="S74" i="5"/>
  <c r="P74" i="5"/>
  <c r="S73" i="5"/>
  <c r="P73" i="5"/>
  <c r="S72" i="5"/>
  <c r="P72" i="5"/>
  <c r="S71" i="5"/>
  <c r="P71" i="5"/>
  <c r="S70" i="5"/>
  <c r="P70" i="5"/>
  <c r="S69" i="5"/>
  <c r="P69" i="5"/>
  <c r="S68" i="5"/>
  <c r="P68" i="5"/>
  <c r="S67" i="5"/>
  <c r="P67" i="5"/>
  <c r="S66" i="5"/>
  <c r="P66" i="5"/>
  <c r="S65" i="5"/>
  <c r="P65" i="5"/>
  <c r="S64" i="5"/>
  <c r="P64" i="5"/>
  <c r="S63" i="5"/>
  <c r="P63" i="5"/>
  <c r="S62" i="5"/>
  <c r="P62" i="5"/>
  <c r="S61" i="5"/>
  <c r="P61" i="5"/>
  <c r="S60" i="5"/>
  <c r="P60" i="5"/>
  <c r="S59" i="5"/>
  <c r="P59" i="5"/>
  <c r="S58" i="5"/>
  <c r="P58" i="5"/>
  <c r="S57" i="5"/>
  <c r="P57" i="5"/>
  <c r="S56" i="5"/>
  <c r="P56" i="5"/>
  <c r="S55" i="5"/>
  <c r="P55" i="5"/>
  <c r="S54" i="5"/>
  <c r="P54" i="5"/>
  <c r="S53" i="5"/>
  <c r="P53" i="5"/>
  <c r="S52" i="5"/>
  <c r="P52" i="5"/>
  <c r="S51" i="5"/>
  <c r="P51" i="5"/>
  <c r="S50" i="5"/>
  <c r="P50" i="5"/>
  <c r="S49" i="5"/>
  <c r="P49" i="5"/>
  <c r="S48" i="5"/>
  <c r="P48" i="5"/>
  <c r="S47" i="5"/>
  <c r="P47" i="5"/>
  <c r="S46" i="5"/>
  <c r="P46" i="5"/>
  <c r="S45" i="5"/>
  <c r="P45" i="5"/>
  <c r="S44" i="5"/>
  <c r="P44" i="5"/>
  <c r="S43" i="5"/>
  <c r="P43" i="5"/>
  <c r="S42" i="5"/>
  <c r="P42" i="5"/>
  <c r="S41" i="5"/>
  <c r="P41" i="5"/>
  <c r="S40" i="5"/>
  <c r="P40" i="5"/>
  <c r="S39" i="5"/>
  <c r="P39" i="5"/>
  <c r="S38" i="5"/>
  <c r="P38" i="5"/>
  <c r="S37" i="5"/>
  <c r="P37" i="5"/>
  <c r="S36" i="5"/>
  <c r="P36" i="5"/>
  <c r="S35" i="5"/>
  <c r="P35" i="5"/>
  <c r="S34" i="5"/>
  <c r="P34" i="5"/>
  <c r="S33" i="5"/>
  <c r="P33" i="5"/>
  <c r="S32" i="5"/>
  <c r="P32" i="5"/>
  <c r="S31" i="5"/>
  <c r="P31" i="5"/>
  <c r="S30" i="5"/>
  <c r="P30" i="5"/>
  <c r="S27" i="5"/>
  <c r="P27" i="5"/>
  <c r="T26" i="5"/>
  <c r="S26" i="5"/>
  <c r="O26" i="5"/>
  <c r="N26" i="5"/>
  <c r="P26" i="5" s="1"/>
  <c r="S25" i="5"/>
  <c r="P25" i="5"/>
  <c r="T24" i="5"/>
  <c r="S24" i="5"/>
  <c r="P24" i="5"/>
  <c r="T23" i="5"/>
  <c r="S23" i="5"/>
  <c r="P23" i="5"/>
  <c r="N23" i="5"/>
  <c r="S22" i="5"/>
  <c r="O22" i="5"/>
  <c r="N22" i="5"/>
  <c r="P22" i="5" s="1"/>
  <c r="S21" i="5"/>
  <c r="P21" i="5"/>
  <c r="S20" i="5"/>
  <c r="P20" i="5"/>
  <c r="S19" i="5"/>
  <c r="P19" i="5"/>
  <c r="T18" i="5"/>
  <c r="S18" i="5"/>
  <c r="P18" i="5"/>
  <c r="T17" i="5"/>
  <c r="S17" i="5"/>
  <c r="P17" i="5"/>
  <c r="T16" i="5"/>
  <c r="S16" i="5"/>
  <c r="P16" i="5"/>
  <c r="T15" i="5"/>
  <c r="S15" i="5"/>
  <c r="P15" i="5"/>
  <c r="T14" i="5"/>
  <c r="S14" i="5"/>
  <c r="P14" i="5"/>
  <c r="T13" i="5"/>
  <c r="S13" i="5"/>
  <c r="P13" i="5"/>
  <c r="S12" i="5"/>
  <c r="N12" i="5"/>
  <c r="P12" i="5" s="1"/>
  <c r="S11" i="5"/>
  <c r="P11" i="5"/>
  <c r="S10" i="5"/>
  <c r="P10" i="5"/>
  <c r="S9" i="5"/>
  <c r="R9" i="5"/>
  <c r="O9" i="5"/>
  <c r="P9" i="5" s="1"/>
  <c r="S8" i="5"/>
  <c r="P8" i="5"/>
  <c r="S7" i="5"/>
  <c r="P7" i="5"/>
  <c r="S6" i="5"/>
  <c r="P6" i="5"/>
  <c r="S5" i="5"/>
  <c r="P5" i="5"/>
  <c r="R4" i="5"/>
  <c r="S4" i="5" s="1"/>
  <c r="O4" i="5"/>
  <c r="P4" i="5" s="1"/>
  <c r="S3" i="5"/>
  <c r="R3" i="5"/>
  <c r="P3" i="5"/>
  <c r="I19" i="3" l="1"/>
  <c r="V4" i="6"/>
  <c r="V5" i="6"/>
  <c r="V6" i="6"/>
  <c r="V7" i="6"/>
  <c r="V8" i="6"/>
  <c r="V9" i="6"/>
  <c r="V10" i="6"/>
  <c r="V11" i="6"/>
  <c r="V12" i="6"/>
  <c r="V13" i="6"/>
  <c r="V14" i="6"/>
  <c r="V15" i="6"/>
  <c r="V16" i="6"/>
  <c r="V17" i="6"/>
  <c r="V18" i="6"/>
  <c r="V19" i="6"/>
  <c r="V20" i="6"/>
  <c r="V21" i="6"/>
  <c r="V22" i="6"/>
  <c r="V23" i="6"/>
  <c r="V24" i="6"/>
  <c r="V25" i="6"/>
  <c r="V26" i="6"/>
  <c r="V27" i="6"/>
  <c r="V3" i="6"/>
  <c r="V4" i="5"/>
  <c r="V5" i="5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3" i="5"/>
  <c r="F3" i="3"/>
  <c r="F12" i="3"/>
  <c r="F7" i="3"/>
  <c r="F17" i="3"/>
  <c r="F20" i="3"/>
  <c r="F13" i="3"/>
  <c r="F4" i="3"/>
  <c r="F24" i="3"/>
  <c r="F8" i="3"/>
  <c r="F18" i="3"/>
  <c r="F5" i="3"/>
  <c r="F25" i="3"/>
  <c r="F14" i="3"/>
  <c r="F26" i="3"/>
  <c r="F27" i="3"/>
  <c r="F23" i="3"/>
  <c r="F6" i="3"/>
  <c r="H3" i="3" l="1"/>
  <c r="H12" i="3"/>
  <c r="H7" i="3"/>
  <c r="H17" i="3"/>
  <c r="H20" i="3"/>
  <c r="H13" i="3"/>
  <c r="H4" i="3"/>
  <c r="H24" i="3"/>
  <c r="H9" i="3"/>
  <c r="H8" i="3"/>
  <c r="H18" i="3"/>
  <c r="H5" i="3"/>
  <c r="H25" i="3"/>
  <c r="H14" i="3"/>
  <c r="H10" i="3"/>
  <c r="H21" i="3"/>
  <c r="H26" i="3"/>
  <c r="H22" i="3"/>
  <c r="H15" i="3"/>
  <c r="H11" i="3"/>
  <c r="H27" i="3"/>
  <c r="H16" i="3"/>
  <c r="H23" i="3"/>
  <c r="F22" i="3" l="1"/>
  <c r="F16" i="3"/>
  <c r="F15" i="3"/>
  <c r="F21" i="3"/>
  <c r="F11" i="3"/>
  <c r="F10" i="3"/>
  <c r="F9" i="3"/>
  <c r="X27" i="6"/>
  <c r="X26" i="6"/>
  <c r="X25" i="6"/>
  <c r="X24" i="6"/>
  <c r="X23" i="6"/>
  <c r="X22" i="6"/>
  <c r="X21" i="6"/>
  <c r="X20" i="6"/>
  <c r="X19" i="6"/>
  <c r="X18" i="6"/>
  <c r="X17" i="6"/>
  <c r="X16" i="6"/>
  <c r="X15" i="6"/>
  <c r="X14" i="6"/>
  <c r="X13" i="6"/>
  <c r="X12" i="6"/>
  <c r="X11" i="6"/>
  <c r="X10" i="6"/>
  <c r="X9" i="6"/>
  <c r="X8" i="6"/>
  <c r="X7" i="6"/>
  <c r="X6" i="6"/>
  <c r="X5" i="6"/>
  <c r="X4" i="6"/>
  <c r="X3" i="6"/>
  <c r="X27" i="5"/>
  <c r="X26" i="5"/>
  <c r="X25" i="5"/>
  <c r="X24" i="5"/>
  <c r="X23" i="5"/>
  <c r="X22" i="5"/>
  <c r="X21" i="5"/>
  <c r="X20" i="5"/>
  <c r="X19" i="5"/>
  <c r="X18" i="5"/>
  <c r="X17" i="5"/>
  <c r="X16" i="5"/>
  <c r="X15" i="5"/>
  <c r="X14" i="5"/>
  <c r="X13" i="5"/>
  <c r="X12" i="5"/>
  <c r="X11" i="5"/>
  <c r="X10" i="5"/>
  <c r="X9" i="5"/>
  <c r="X8" i="5"/>
  <c r="X7" i="5"/>
  <c r="X6" i="5"/>
  <c r="X5" i="5"/>
  <c r="X4" i="5"/>
  <c r="X3" i="5"/>
  <c r="H6" i="3"/>
  <c r="G6" i="3"/>
  <c r="W27" i="6"/>
  <c r="W26" i="6"/>
  <c r="W25" i="6"/>
  <c r="Y25" i="6" s="1"/>
  <c r="W24" i="6"/>
  <c r="Y24" i="6" s="1"/>
  <c r="W23" i="6"/>
  <c r="Y23" i="6" s="1"/>
  <c r="W22" i="6"/>
  <c r="W21" i="6"/>
  <c r="W20" i="6"/>
  <c r="W19" i="6"/>
  <c r="W18" i="6"/>
  <c r="W17" i="6"/>
  <c r="W16" i="6"/>
  <c r="Y16" i="6" s="1"/>
  <c r="W15" i="6"/>
  <c r="Y15" i="6" s="1"/>
  <c r="W14" i="6"/>
  <c r="W13" i="6"/>
  <c r="W12" i="6"/>
  <c r="W11" i="6"/>
  <c r="W10" i="6"/>
  <c r="W9" i="6"/>
  <c r="W8" i="6"/>
  <c r="W7" i="6"/>
  <c r="Y7" i="6" s="1"/>
  <c r="W6" i="6"/>
  <c r="W5" i="6"/>
  <c r="W4" i="6"/>
  <c r="W3" i="6"/>
  <c r="W27" i="5"/>
  <c r="W26" i="5"/>
  <c r="W25" i="5"/>
  <c r="W24" i="5"/>
  <c r="W23" i="5"/>
  <c r="W22" i="5"/>
  <c r="W21" i="5"/>
  <c r="W20" i="5"/>
  <c r="W19" i="5"/>
  <c r="W18" i="5"/>
  <c r="W17" i="5"/>
  <c r="W16" i="5"/>
  <c r="W15" i="5"/>
  <c r="W14" i="5"/>
  <c r="W13" i="5"/>
  <c r="W12" i="5"/>
  <c r="W11" i="5"/>
  <c r="W10" i="5"/>
  <c r="W9" i="5"/>
  <c r="W8" i="5"/>
  <c r="W7" i="5"/>
  <c r="Y7" i="5" s="1"/>
  <c r="W6" i="5"/>
  <c r="Y6" i="5" s="1"/>
  <c r="W5" i="5"/>
  <c r="W4" i="5"/>
  <c r="W3" i="5"/>
  <c r="G14" i="3"/>
  <c r="G25" i="3"/>
  <c r="G5" i="3"/>
  <c r="G18" i="3"/>
  <c r="G8" i="3"/>
  <c r="G23" i="3"/>
  <c r="G16" i="3"/>
  <c r="G27" i="3"/>
  <c r="G11" i="3"/>
  <c r="G15" i="3"/>
  <c r="G22" i="3"/>
  <c r="G26" i="3"/>
  <c r="G21" i="3"/>
  <c r="G10" i="3"/>
  <c r="G9" i="3"/>
  <c r="G3" i="3"/>
  <c r="I3" i="3" s="1"/>
  <c r="G12" i="3"/>
  <c r="G7" i="3"/>
  <c r="G17" i="3"/>
  <c r="G20" i="3"/>
  <c r="G13" i="3"/>
  <c r="G4" i="3"/>
  <c r="G24" i="3"/>
  <c r="Y11" i="6" l="1"/>
  <c r="Y5" i="5"/>
  <c r="Y27" i="5"/>
  <c r="Y26" i="5"/>
  <c r="Y19" i="5"/>
  <c r="Y18" i="5"/>
  <c r="Y25" i="5"/>
  <c r="Y17" i="5"/>
  <c r="Y13" i="6"/>
  <c r="Y21" i="6"/>
  <c r="Y27" i="6"/>
  <c r="Y19" i="6"/>
  <c r="Y14" i="6"/>
  <c r="Y22" i="6"/>
  <c r="Y26" i="6"/>
  <c r="Y18" i="6"/>
  <c r="Y17" i="6"/>
  <c r="Y13" i="5"/>
  <c r="Y22" i="5"/>
  <c r="Y15" i="5"/>
  <c r="Y14" i="5"/>
  <c r="I26" i="3"/>
  <c r="I25" i="3"/>
  <c r="I10" i="3"/>
  <c r="I11" i="3"/>
  <c r="I5" i="3"/>
  <c r="I15" i="3"/>
  <c r="I22" i="3"/>
  <c r="I16" i="3"/>
  <c r="Y10" i="6"/>
  <c r="Y9" i="6"/>
  <c r="Y3" i="5"/>
  <c r="I8" i="3"/>
  <c r="I18" i="3"/>
  <c r="Y8" i="6"/>
  <c r="Y5" i="6"/>
  <c r="Y6" i="6"/>
  <c r="Y4" i="5"/>
  <c r="Y12" i="5"/>
  <c r="Y10" i="5"/>
  <c r="Y9" i="5"/>
  <c r="Y11" i="5"/>
  <c r="Y3" i="6"/>
  <c r="Y4" i="6"/>
  <c r="Y12" i="6"/>
  <c r="Y20" i="6"/>
  <c r="Y20" i="5"/>
  <c r="Y21" i="5"/>
  <c r="Y23" i="5"/>
  <c r="Y8" i="5"/>
  <c r="Y16" i="5"/>
  <c r="Y24" i="5"/>
  <c r="I12" i="3"/>
  <c r="I4" i="3"/>
  <c r="I7" i="3"/>
  <c r="I17" i="3"/>
  <c r="I20" i="3"/>
  <c r="I9" i="3"/>
  <c r="I23" i="3"/>
  <c r="I27" i="3"/>
  <c r="I21" i="3"/>
  <c r="I14" i="3"/>
  <c r="I24" i="3"/>
  <c r="I13" i="3"/>
  <c r="I6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tc={FD20E790-6F47-422A-BA7B-4047C1C75241}</author>
    <author>tc={17960D7D-E28F-40A1-9464-80E9F1A28491}</author>
    <author>tc={98C284C8-F490-460F-AE0F-EC7E06287EB8}</author>
    <author>tc={C4D07C85-7AAF-4E63-8CAA-0E8A6281045F}</author>
    <author>tc={C86A08D6-7787-4324-AA5F-0F9CD3645C19}</author>
    <author>tc={3A16E88F-BBCA-4A26-9E33-BE548C3AA3FA}</author>
    <author>tc={5523DFE8-64C6-4096-A3CB-D52963A32BE1}</author>
    <author>tc={01958625-5F43-415F-AE8B-7ED181CB8946}</author>
    <author>tc={3E4673EA-4E76-42E8-82A6-247D47A9416B}</author>
    <author>tc={B0CC24FB-90C7-481C-BAED-DAC654850F3B}</author>
    <author>tc={7D1CFD24-2553-4D7A-B8D5-6728605E9713}</author>
    <author>tc={1800E836-5197-4826-A61A-D6309A1E41F4}</author>
    <author>tc={8AED3CFB-10AC-4065-95C2-E915624FA6F4}</author>
    <author>tc={EF756F9C-7CA8-464F-B827-12A13E533437}</author>
    <author>tc={5DBA11E9-8431-419F-83B2-ECBA62B39390}</author>
    <author>tc={63C2B579-2A9A-41B5-9D96-4428282EB8C0}</author>
    <author>tc={6E71C2E6-D94E-4CB9-A0DC-0847C5FD20B3}</author>
    <author>tc={99E996F5-44FA-4856-97C5-A11D59F4ADD2}</author>
    <author>tc={5EF9B454-98CD-4231-BCA2-216011DC77B9}</author>
    <author>tc={A3BBCC4E-EB00-476D-80E1-708105C6F713}</author>
    <author>tc={BC18401D-C950-4AF5-A44A-EAF7C676D99D}</author>
    <author>tc={3721630D-D5A1-4C74-A8E9-EB64C1A46BBC}</author>
    <author>tc={899B9621-D6FE-4B2B-B447-B487201E2B94}</author>
    <author>tc={6C07DFD0-18D1-4EA4-B337-6CBEE33701DB}</author>
    <author>tc={220F9E7F-DFF5-4C59-B1E1-DED285EB7653}</author>
    <author>tc={C5E62A9A-770F-4E0C-A585-140A303C1B79}</author>
    <author>tc={82E0EB2C-088F-445F-BCD6-F5DE4F76B56C}</author>
    <author>tc={8103EFE1-0A55-46D0-9EC2-04449CD46C21}</author>
    <author>tc={1F376BB9-06CA-482E-8DC7-CAEEA4BE2C7B}</author>
    <author>tc={418F1A6A-6811-4AFA-BA26-A54DD488BD8A}</author>
  </authors>
  <commentList>
    <comment ref="T13" authorId="0" shapeId="0" xr:uid="{FD20E790-6F47-422A-BA7B-4047C1C75241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HEI) - CI Pop only so does not include WI unattributed)  + SE pop (from Epic)</t>
      </text>
    </comment>
    <comment ref="U13" authorId="1" shapeId="0" xr:uid="{17960D7D-E28F-40A1-9464-80E9F1A28491}">
      <text>
        <t>[Threaded comment]
Your version of Excel allows you to read this threaded comment; however, any edits to it will get removed if the file is opened in a newer version of Excel. Learn more: https://go.microsoft.com/fwlink/?linkid=870924
Comment:
    Assigned level 5 since there is no national benchmark for this measure</t>
      </text>
    </comment>
    <comment ref="T14" authorId="2" shapeId="0" xr:uid="{98C284C8-F490-460F-AE0F-EC7E06287EB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MW pop (from HEI - CI Pop only so does not include WI unattributed)  + SE pop (from Epic)
</t>
      </text>
    </comment>
    <comment ref="U14" authorId="3" shapeId="0" xr:uid="{C4D07C85-7AAF-4E63-8CAA-0E8A6281045F}">
      <text>
        <t>[Threaded comment]
Your version of Excel allows you to read this threaded comment; however, any edits to it will get removed if the file is opened in a newer version of Excel. Learn more: https://go.microsoft.com/fwlink/?linkid=870924
Comment:
    Assigned level 5 since there is no national benchmark for this measure</t>
      </text>
    </comment>
    <comment ref="T15" authorId="4" shapeId="0" xr:uid="{C86A08D6-7787-4324-AA5F-0F9CD3645C19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15" authorId="5" shapeId="0" xr:uid="{3A16E88F-BBCA-4A26-9E33-BE548C3AA3FA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MW and Epic for SE, and using A1c enterprise payer mix blend with DEE benchmarks</t>
      </text>
    </comment>
    <comment ref="T16" authorId="6" shapeId="0" xr:uid="{5523DFE8-64C6-4096-A3CB-D52963A32BE1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 - CI Pop only so does not include WI unattributed) + SE pop (from Epic)</t>
      </text>
    </comment>
    <comment ref="U16" authorId="7" shapeId="0" xr:uid="{01958625-5F43-415F-AE8B-7ED181CB8946}">
      <text>
        <t>[Threaded comment]
Your version of Excel allows you to read this threaded comment; however, any edits to it will get removed if the file is opened in a newer version of Excel. Learn more: https://go.microsoft.com/fwlink/?linkid=870924
Comment:
    Assigned level 5 since there is no national benchmark for this measure</t>
      </text>
    </comment>
    <comment ref="T17" authorId="8" shapeId="0" xr:uid="{3E4673EA-4E76-42E8-82A6-247D47A9416B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17" authorId="9" shapeId="0" xr:uid="{B0CC24FB-90C7-481C-BAED-DAC654850F3B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the MW &amp; Epic pop for SE, and MW payer mix blend and ASCVD Statin benchmarks (SE payer mix no available for this measure)</t>
      </text>
    </comment>
    <comment ref="T18" authorId="10" shapeId="0" xr:uid="{7D1CFD24-2553-4D7A-B8D5-6728605E9713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18" authorId="11" shapeId="0" xr:uid="{1800E836-5197-4826-A61A-D6309A1E41F4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the MW &amp; Epic pop for SE, and MW payer mix blend and WCV 30 Months benchmarks (SE payer mix no available for this measure)</t>
      </text>
    </comment>
    <comment ref="T19" authorId="12" shapeId="0" xr:uid="{8AED3CFB-10AC-4065-95C2-E915624FA6F4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HEI), no data for the SE</t>
      </text>
    </comment>
    <comment ref="U19" authorId="13" shapeId="0" xr:uid="{EF756F9C-7CA8-464F-B827-12A13E533437}">
      <text>
        <t>[Threaded comment]
Your version of Excel allows you to read this threaded comment; however, any edits to it will get removed if the file is opened in a newer version of Excel. Learn more: https://go.microsoft.com/fwlink/?linkid=870924
Comment:
    MW Rate only using HEI pop, and MW payer mix blend and Child Flu benchmarks, no data for the SE</t>
      </text>
    </comment>
    <comment ref="T20" authorId="14" shapeId="0" xr:uid="{5DBA11E9-8431-419F-83B2-ECBA62B39390}">
      <text>
        <t>[Threaded comment]
Your version of Excel allows you to read this threaded comment; however, any edits to it will get removed if the file is opened in a newer version of Excel. Learn more: https://go.microsoft.com/fwlink/?linkid=870924
Comment:
    MW AAMG pop only (from Epic), no data for Aligned or the SE</t>
      </text>
    </comment>
    <comment ref="U20" authorId="15" shapeId="0" xr:uid="{63C2B579-2A9A-41B5-9D96-4428282EB8C0}">
      <text>
        <t>[Threaded comment]
Your version of Excel allows you to read this threaded comment; however, any edits to it will get removed if the file is opened in a newer version of Excel. Learn more: https://go.microsoft.com/fwlink/?linkid=870924
Comment:
    MW AAMG Rate only using HEI pop, and assigned level 5 since there is no national benchmark for this measure, , no data for Aligned or the SE</t>
      </text>
    </comment>
    <comment ref="T21" authorId="16" shapeId="0" xr:uid="{6E71C2E6-D94E-4CB9-A0DC-0847C5FD20B3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HEI), no data for the SE</t>
      </text>
    </comment>
    <comment ref="U21" authorId="17" shapeId="0" xr:uid="{99E996F5-44FA-4856-97C5-A11D59F4ADD2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&amp; rate using HEI and estimated performance at level 1 as it's it's only 26%, no data for the SE</t>
      </text>
    </comment>
    <comment ref="T22" authorId="18" shapeId="0" xr:uid="{5EF9B454-98CD-4231-BCA2-216011DC77B9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HEI), no data for the SE</t>
      </text>
    </comment>
    <comment ref="U22" authorId="19" shapeId="0" xr:uid="{A3BBCC4E-EB00-476D-80E1-708105C6F713}">
      <text>
        <t>[Threaded comment]
Your version of Excel allows you to read this threaded comment; however, any edits to it will get removed if the file is opened in a newer version of Excel. Learn more: https://go.microsoft.com/fwlink/?linkid=870924
Comment:
    MW Rate only using HEI pop, and MW payer mix blend and HPV benchmarks, no data for the SE</t>
      </text>
    </comment>
    <comment ref="T23" authorId="20" shapeId="0" xr:uid="{BC18401D-C950-4AF5-A44A-EAF7C676D99D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23" authorId="21" shapeId="0" xr:uid="{3721630D-D5A1-4C74-A8E9-EB64C1A46BBC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the MW &amp; Epic pop for SE, and MW payer mix blend and Child Imm Combo 7 benchmarks (SE payer mix no available for this measure)</t>
      </text>
    </comment>
    <comment ref="T24" authorId="22" shapeId="0" xr:uid="{899B9621-D6FE-4B2B-B447-B487201E2B94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24" authorId="23" shapeId="0" xr:uid="{6C07DFD0-18D1-4EA4-B337-6CBEE33701DB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the MW &amp; Epic pop for SE, and MW payer mix blend and WCV 15 Months benchmarks (SE payer mix no available for this measure)</t>
      </text>
    </comment>
    <comment ref="T25" authorId="24" shapeId="0" xr:uid="{220F9E7F-DFF5-4C59-B1E1-DED285EB7653}">
      <text>
        <t>[Threaded comment]
Your version of Excel allows you to read this threaded comment; however, any edits to it will get removed if the file is opened in a newer version of Excel. Learn more: https://go.microsoft.com/fwlink/?linkid=870924
Comment:
    MW AAMG pop only (from Epic), no data for Aligned or the SE</t>
      </text>
    </comment>
    <comment ref="U25" authorId="25" shapeId="0" xr:uid="{C5E62A9A-770F-4E0C-A585-140A303C1B79}">
      <text>
        <t>[Threaded comment]
Your version of Excel allows you to read this threaded comment; however, any edits to it will get removed if the file is opened in a newer version of Excel. Learn more: https://go.microsoft.com/fwlink/?linkid=870924
Comment:
    MW AAMG Rate only using HEI pop, and assigned level 5 since there is no national benchmark for this measure, no data for Aligned or the SE</t>
      </text>
    </comment>
    <comment ref="T26" authorId="26" shapeId="0" xr:uid="{82E0EB2C-088F-445F-BCD6-F5DE4F76B56C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26" authorId="27" shapeId="0" xr:uid="{8103EFE1-0A55-46D0-9EC2-04449CD46C21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the MW &amp; Epic pop for SE, and MW payer mix blend and Adol Imm Combo 1 benchmarks (SE payer mix no available for this measure)</t>
      </text>
    </comment>
    <comment ref="T27" authorId="28" shapeId="0" xr:uid="{1F376BB9-06CA-482E-8DC7-CAEEA4BE2C7B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HEI), no data for the SE</t>
      </text>
    </comment>
    <comment ref="U27" authorId="29" shapeId="0" xr:uid="{418F1A6A-6811-4AFA-BA26-A54DD488BD8A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&amp; rates using HEI and the Medicaid benchmarks for Lead Screening (there is only a Medicaid benchmark), no data for the SE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tc={824E5CFB-43A6-4C64-9FE6-097FE2C18381}</author>
    <author>tc={9B964446-3F43-4F7C-8F88-A1E68E6DC0CB}</author>
    <author>tc={4981AB5F-E3D1-4DB0-9FD3-45DBC0D3B4DF}</author>
    <author>tc={6BA59CEA-DF38-44DC-9557-01343EE72612}</author>
    <author>tc={A9514708-A8EC-4FB3-845C-CC23ED697EE4}</author>
    <author>tc={AB5DC0C2-1B21-47CF-9D37-7B97CAD56C4C}</author>
    <author>tc={99D19574-1918-4CA3-8F2C-41504532801D}</author>
    <author>tc={F7F31A25-0E97-42F0-9716-FC56EBE023A0}</author>
    <author>tc={5B045BF9-4E03-4535-BB82-5E5A6B1DB542}</author>
    <author>tc={FAE00A9F-1F93-4617-8F2C-8C60F0427CD6}</author>
    <author>tc={FC68FC21-59C0-4C87-80D1-69AA90269E47}</author>
    <author>tc={EF16714D-B5C2-414A-B74B-0CCEA04ACA05}</author>
    <author>tc={A35FFC81-5343-47A2-9FCC-BA175964B590}</author>
    <author>tc={F064EF7D-5C42-4C0B-89F6-3708A901FF2C}</author>
    <author>tc={22C04369-9D1D-419D-A292-47834EF41763}</author>
    <author>tc={EC62EEB5-E29C-4F76-BDC9-AC415DA459BD}</author>
    <author>tc={6196BC13-1CF5-48BD-A0FA-EA415490B60E}</author>
    <author>tc={E5D814E4-EE47-4CE3-BA2D-4DF7C5D3EBB7}</author>
    <author>tc={D1CBF712-7E9B-4840-90EC-F0EFFECEC226}</author>
    <author>tc={0688755F-DEF2-4EE8-96E2-E405A4B48F6A}</author>
    <author>tc={A0553F73-9215-4F0E-9306-061B850BC4EF}</author>
    <author>tc={A42A0B1D-E96A-4788-9E31-B760247367FA}</author>
    <author>tc={ED281CBF-E664-44D4-8786-F0F3535D7CBE}</author>
    <author>tc={FE1ED150-A313-4084-A681-DB54D9F1F480}</author>
    <author>tc={35BA0244-B7C1-43AA-A976-BDDC5696E2F2}</author>
    <author>tc={3BCCF1BC-7CBF-450F-9548-AF2755AA370C}</author>
    <author>tc={0686BAB9-8CFF-4486-9EA3-487FB57CF90A}</author>
    <author>tc={2549A347-17E3-492F-A0FD-16D2CB381EBA}</author>
    <author>tc={D7B77CAD-9A34-499F-BBBB-1A287ECA226A}</author>
    <author>tc={A6AD82E0-18EC-49C4-AD04-5AA800E4CACD}</author>
  </authors>
  <commentList>
    <comment ref="T13" authorId="0" shapeId="0" xr:uid="{824E5CFB-43A6-4C64-9FE6-097FE2C18381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HEI) - CI Pop only so does not include WI unattributed)  + SE pop (from Epic)</t>
      </text>
    </comment>
    <comment ref="U13" authorId="1" shapeId="0" xr:uid="{9B964446-3F43-4F7C-8F88-A1E68E6DC0CB}">
      <text>
        <t>[Threaded comment]
Your version of Excel allows you to read this threaded comment; however, any edits to it will get removed if the file is opened in a newer version of Excel. Learn more: https://go.microsoft.com/fwlink/?linkid=870924
Comment:
    Assigned level 5 since there is no national benchmark for this measure</t>
      </text>
    </comment>
    <comment ref="T14" authorId="2" shapeId="0" xr:uid="{4981AB5F-E3D1-4DB0-9FD3-45DBC0D3B4D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MW pop (from HEI - CI Pop only so does not include WI unattributed)  + SE pop (from Epic)
</t>
      </text>
    </comment>
    <comment ref="U14" authorId="3" shapeId="0" xr:uid="{6BA59CEA-DF38-44DC-9557-01343EE72612}">
      <text>
        <t>[Threaded comment]
Your version of Excel allows you to read this threaded comment; however, any edits to it will get removed if the file is opened in a newer version of Excel. Learn more: https://go.microsoft.com/fwlink/?linkid=870924
Comment:
    Assigned level 5 since there is no national benchmark for this measure</t>
      </text>
    </comment>
    <comment ref="T15" authorId="4" shapeId="0" xr:uid="{A9514708-A8EC-4FB3-845C-CC23ED697EE4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15" authorId="5" shapeId="0" xr:uid="{AB5DC0C2-1B21-47CF-9D37-7B97CAD56C4C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MW and Epic for SE, and using A1c enterprise payer mix blend with DEE benchmarks</t>
      </text>
    </comment>
    <comment ref="T16" authorId="6" shapeId="0" xr:uid="{99D19574-1918-4CA3-8F2C-41504532801D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 - CI Pop only so does not include WI unattributed) + SE pop (from Epic)</t>
      </text>
    </comment>
    <comment ref="U16" authorId="7" shapeId="0" xr:uid="{F7F31A25-0E97-42F0-9716-FC56EBE023A0}">
      <text>
        <t>[Threaded comment]
Your version of Excel allows you to read this threaded comment; however, any edits to it will get removed if the file is opened in a newer version of Excel. Learn more: https://go.microsoft.com/fwlink/?linkid=870924
Comment:
    Assigned level 5 since there is no national benchmark for this measure</t>
      </text>
    </comment>
    <comment ref="T17" authorId="8" shapeId="0" xr:uid="{5B045BF9-4E03-4535-BB82-5E5A6B1DB542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17" authorId="9" shapeId="0" xr:uid="{FAE00A9F-1F93-4617-8F2C-8C60F0427CD6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the MW &amp; Epic pop for SE, and MW payer mix blend and ASCVD Statin benchmarks (SE payer mix no available for this measure)</t>
      </text>
    </comment>
    <comment ref="T18" authorId="10" shapeId="0" xr:uid="{FC68FC21-59C0-4C87-80D1-69AA90269E47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18" authorId="11" shapeId="0" xr:uid="{EF16714D-B5C2-414A-B74B-0CCEA04ACA05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the MW &amp; Epic pop for SE, and MW payer mix blend and WCV 30 Months benchmarks (SE payer mix no available for this measure)</t>
      </text>
    </comment>
    <comment ref="T19" authorId="12" shapeId="0" xr:uid="{A35FFC81-5343-47A2-9FCC-BA175964B590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HEI), no data for the SE</t>
      </text>
    </comment>
    <comment ref="U19" authorId="13" shapeId="0" xr:uid="{F064EF7D-5C42-4C0B-89F6-3708A901FF2C}">
      <text>
        <t>[Threaded comment]
Your version of Excel allows you to read this threaded comment; however, any edits to it will get removed if the file is opened in a newer version of Excel. Learn more: https://go.microsoft.com/fwlink/?linkid=870924
Comment:
    MW Rate only using HEI pop, and MW payer mix blend and Child Flu benchmarks, no data for the SE</t>
      </text>
    </comment>
    <comment ref="T20" authorId="14" shapeId="0" xr:uid="{22C04369-9D1D-419D-A292-47834EF41763}">
      <text>
        <t>[Threaded comment]
Your version of Excel allows you to read this threaded comment; however, any edits to it will get removed if the file is opened in a newer version of Excel. Learn more: https://go.microsoft.com/fwlink/?linkid=870924
Comment:
    MW AAMG pop only (from Epic), no data for Aligned or the SE</t>
      </text>
    </comment>
    <comment ref="U20" authorId="15" shapeId="0" xr:uid="{EC62EEB5-E29C-4F76-BDC9-AC415DA459BD}">
      <text>
        <t>[Threaded comment]
Your version of Excel allows you to read this threaded comment; however, any edits to it will get removed if the file is opened in a newer version of Excel. Learn more: https://go.microsoft.com/fwlink/?linkid=870924
Comment:
    MW AAMG Rate only using HEI pop, and assigned level 5 since there is no national benchmark for this measure, , no data for Aligned or the SE</t>
      </text>
    </comment>
    <comment ref="T21" authorId="16" shapeId="0" xr:uid="{6196BC13-1CF5-48BD-A0FA-EA415490B60E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HEI), no data for the SE</t>
      </text>
    </comment>
    <comment ref="U21" authorId="17" shapeId="0" xr:uid="{E5D814E4-EE47-4CE3-BA2D-4DF7C5D3EBB7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&amp; rate using HEI and estimated performance at level 1 as it's it's only 26%, no data for the SE</t>
      </text>
    </comment>
    <comment ref="T22" authorId="18" shapeId="0" xr:uid="{D1CBF712-7E9B-4840-90EC-F0EFFECEC226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HEI), no data for the SE</t>
      </text>
    </comment>
    <comment ref="U22" authorId="19" shapeId="0" xr:uid="{0688755F-DEF2-4EE8-96E2-E405A4B48F6A}">
      <text>
        <t>[Threaded comment]
Your version of Excel allows you to read this threaded comment; however, any edits to it will get removed if the file is opened in a newer version of Excel. Learn more: https://go.microsoft.com/fwlink/?linkid=870924
Comment:
    MW Rate only using HEI pop, and MW payer mix blend and HPV benchmarks, no data for the SE</t>
      </text>
    </comment>
    <comment ref="T23" authorId="20" shapeId="0" xr:uid="{A0553F73-9215-4F0E-9306-061B850BC4EF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23" authorId="21" shapeId="0" xr:uid="{A42A0B1D-E96A-4788-9E31-B760247367FA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the MW &amp; Epic pop for SE, and MW payer mix blend and Child Imm Combo 7 benchmarks (SE payer mix no available for this measure)</t>
      </text>
    </comment>
    <comment ref="T24" authorId="22" shapeId="0" xr:uid="{ED281CBF-E664-44D4-8786-F0F3535D7CBE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24" authorId="23" shapeId="0" xr:uid="{FE1ED150-A313-4084-A681-DB54D9F1F480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the MW &amp; Epic pop for SE, and MW payer mix blend and WCV 15 Months benchmarks (SE payer mix no available for this measure)</t>
      </text>
    </comment>
    <comment ref="T25" authorId="24" shapeId="0" xr:uid="{35BA0244-B7C1-43AA-A976-BDDC5696E2F2}">
      <text>
        <t>[Threaded comment]
Your version of Excel allows you to read this threaded comment; however, any edits to it will get removed if the file is opened in a newer version of Excel. Learn more: https://go.microsoft.com/fwlink/?linkid=870924
Comment:
    MW AAMG pop only (from Epic), no data for Aligned or the SE</t>
      </text>
    </comment>
    <comment ref="U25" authorId="25" shapeId="0" xr:uid="{3BCCF1BC-7CBF-450F-9548-AF2755AA370C}">
      <text>
        <t>[Threaded comment]
Your version of Excel allows you to read this threaded comment; however, any edits to it will get removed if the file is opened in a newer version of Excel. Learn more: https://go.microsoft.com/fwlink/?linkid=870924
Comment:
    MW AAMG Rate only using HEI pop, and assigned level 5 since there is no national benchmark for this measure, no data for Aligned or the SE</t>
      </text>
    </comment>
    <comment ref="T26" authorId="26" shapeId="0" xr:uid="{0686BAB9-8CFF-4486-9EA3-487FB57CF90A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(from HEI) + SE pop (from Epic)</t>
      </text>
    </comment>
    <comment ref="U26" authorId="27" shapeId="0" xr:uid="{2549A347-17E3-492F-A0FD-16D2CB381EBA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Enterprise Rate using HEI pop for the MW &amp; Epic pop for SE, and MW payer mix blend and Adol Imm Combo 1 benchmarks (SE payer mix no available for this measure)</t>
      </text>
    </comment>
    <comment ref="T27" authorId="28" shapeId="0" xr:uid="{D7B77CAD-9A34-499F-BBBB-1A287ECA226A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only (from HEI), no data for the SE</t>
      </text>
    </comment>
    <comment ref="U27" authorId="29" shapeId="0" xr:uid="{A6AD82E0-18EC-49C4-AD04-5AA800E4CACD}">
      <text>
        <t>[Threaded comment]
Your version of Excel allows you to read this threaded comment; however, any edits to it will get removed if the file is opened in a newer version of Excel. Learn more: https://go.microsoft.com/fwlink/?linkid=870924
Comment:
    MW pop &amp; rates using HEI and the Medicaid benchmarks for Lead Screening (there is only a Medicaid benchmark), no data for the SE</t>
      </text>
    </comment>
  </commentList>
</comments>
</file>

<file path=xl/sharedStrings.xml><?xml version="1.0" encoding="utf-8"?>
<sst xmlns="http://schemas.openxmlformats.org/spreadsheetml/2006/main" count="862" uniqueCount="206">
  <si>
    <t>Measure</t>
  </si>
  <si>
    <t>Performance</t>
  </si>
  <si>
    <t>Total</t>
  </si>
  <si>
    <t>Breast Cancer Screening</t>
  </si>
  <si>
    <t>Controlling High Blood Pressure</t>
  </si>
  <si>
    <t xml:space="preserve">Diabetes  Testing - A1c </t>
  </si>
  <si>
    <t xml:space="preserve">Immunization HPV </t>
  </si>
  <si>
    <t xml:space="preserve">Immunization Adult Pneumonia </t>
  </si>
  <si>
    <t>Scoring Rubric</t>
  </si>
  <si>
    <t>yes</t>
  </si>
  <si>
    <t>Patients Covered/Population</t>
  </si>
  <si>
    <t>Depression Screen with f/u plan</t>
  </si>
  <si>
    <t>Cervical Cancer Screening</t>
  </si>
  <si>
    <t xml:space="preserve">Diabetes Statin Use </t>
  </si>
  <si>
    <t>Immunization Childhood Combo 7</t>
  </si>
  <si>
    <t>Immunization Adolescent Combo 1</t>
  </si>
  <si>
    <t>Medicare Wellness Visit rate</t>
  </si>
  <si>
    <t>Well Child Visit: 0 - 15 months</t>
  </si>
  <si>
    <t>Well Child Visit: 15 - 30 months</t>
  </si>
  <si>
    <t>heavier weighted in VB agreements</t>
  </si>
  <si>
    <t>Autism Screening; M-CHAT R</t>
  </si>
  <si>
    <t>Developmental Screening - ASQ</t>
  </si>
  <si>
    <t xml:space="preserve">Scoring rubric </t>
  </si>
  <si>
    <t>x</t>
  </si>
  <si>
    <t>Immunization Influenza (6 months +)</t>
  </si>
  <si>
    <t>EPIC dashboard measures (current or planned)</t>
  </si>
  <si>
    <t>measure in no value based agreements</t>
  </si>
  <si>
    <t>measure in at least 1 value based agreement</t>
  </si>
  <si>
    <t>Immunization Influenza - Childhood (2 by 2)</t>
  </si>
  <si>
    <t>Value based payer agreement significance</t>
  </si>
  <si>
    <t>measure in 6 or more value based agreements</t>
  </si>
  <si>
    <t>Value based payer</t>
  </si>
  <si>
    <t>Population size</t>
  </si>
  <si>
    <t>Value based agreements/informational</t>
  </si>
  <si>
    <t>measure in 2 or 3 value based agreements</t>
  </si>
  <si>
    <t>measure in 4 or 5 value based agreements</t>
  </si>
  <si>
    <t>Diabetes Blood Sugar Control (A1c &lt; 8)</t>
  </si>
  <si>
    <t>Measure information</t>
  </si>
  <si>
    <t>Population Size</t>
  </si>
  <si>
    <t>$3M-$5M</t>
  </si>
  <si>
    <t>$1M-$3M</t>
  </si>
  <si>
    <t>$500K-$1M</t>
  </si>
  <si>
    <t>&lt;$500K</t>
  </si>
  <si>
    <t>VBC Impact - Rewards $$</t>
  </si>
  <si>
    <t>ASCVD Statin Therapy</t>
  </si>
  <si>
    <t>Diabetes Eye Exam</t>
  </si>
  <si>
    <t>Osteo Screening in Women w/ Fx</t>
  </si>
  <si>
    <t>&lt;20,000</t>
  </si>
  <si>
    <t>measure in &gt;15 value based agreements</t>
  </si>
  <si>
    <t>measure in 11-15 value based agreements</t>
  </si>
  <si>
    <t>measure in 6-10 value based agreements</t>
  </si>
  <si>
    <t>measure in 1-5 value based agreements</t>
  </si>
  <si>
    <t>Prior Yr PHI measure</t>
  </si>
  <si>
    <t>Prior Yr Watchlist measure</t>
  </si>
  <si>
    <t>MA Measure</t>
  </si>
  <si>
    <t>Commercial Measure</t>
  </si>
  <si>
    <t>Medicaid Measure</t>
  </si>
  <si>
    <t>Enterprise Population</t>
  </si>
  <si>
    <t>&lt; 100K patients (or less than 20K if only measures peds)</t>
  </si>
  <si>
    <t>100K - 300K patients (between 20K and 60K if only measures peds)</t>
  </si>
  <si>
    <t>300K  - 500 K patients (or 60K - 100K if only measures peds)</t>
  </si>
  <si>
    <t>500K - 1M patients (100K - 300K if only measures peds)</t>
  </si>
  <si>
    <t>&gt; 1M patients (&gt;300K if only measures peds)</t>
  </si>
  <si>
    <t>Decision (P = in PHI; W =  Watchlist)</t>
  </si>
  <si>
    <t>Colorectal CA Screening - 45-75 Yrs</t>
  </si>
  <si>
    <t>Diabetes Kidney Health Evaluation (KED)</t>
  </si>
  <si>
    <t>Well Child Visit 3-21 Years (2024 Watchlist)</t>
  </si>
  <si>
    <t>&gt;$5M</t>
  </si>
  <si>
    <t>AAMG</t>
  </si>
  <si>
    <t>Measure Weight</t>
  </si>
  <si>
    <t>Num</t>
  </si>
  <si>
    <t>Den</t>
  </si>
  <si>
    <t>Depression Screen with Follow-up Plan</t>
  </si>
  <si>
    <t>&gt;500000</t>
  </si>
  <si>
    <t>Colorectal Cancer Screening</t>
  </si>
  <si>
    <t>300,000-500,000</t>
  </si>
  <si>
    <t>Condition Re-Evaluation</t>
  </si>
  <si>
    <t>100,000-300,000</t>
  </si>
  <si>
    <t>20,000-100,000</t>
  </si>
  <si>
    <t>Medicare Wellness Visits</t>
  </si>
  <si>
    <t>Well Child Visits 3-21 Years</t>
  </si>
  <si>
    <t>Diabetes Kidney Health Evaluation</t>
  </si>
  <si>
    <t>Diabetes A1c &lt; 8.0</t>
  </si>
  <si>
    <t>Diabetes Statin Use</t>
  </si>
  <si>
    <t>Enterprise</t>
  </si>
  <si>
    <t>&gt;500,000</t>
  </si>
  <si>
    <t>&gt;1,000,000</t>
  </si>
  <si>
    <t>500,000-1,000,000</t>
  </si>
  <si>
    <t>&lt;100,000</t>
  </si>
  <si>
    <t xml:space="preserve">Lead Screening </t>
  </si>
  <si>
    <t>Lead Screening</t>
  </si>
  <si>
    <t>Level 3.  Between top quartile and midpoint of top quartile and top decile.  Improvement needed.</t>
  </si>
  <si>
    <t>Level 4.  Between top decile and top quartile. Improvement needed.</t>
  </si>
  <si>
    <t>Level 5.  Achieving Stretch or top decile.</t>
  </si>
  <si>
    <t xml:space="preserve"> Level 1.  Less than Median (50th Percentlile) performance. Improvement needed.</t>
  </si>
  <si>
    <t>Level 2.  Between top quartile and median. Improvement needed.</t>
  </si>
  <si>
    <t>Scoring Levels</t>
  </si>
  <si>
    <t>Midpoint of Level 3/Stretch</t>
  </si>
  <si>
    <t>Median (Threshold)</t>
  </si>
  <si>
    <t>Midpoint of Median (Threshold)/Stretch</t>
  </si>
  <si>
    <t>Stretch/Top Decile</t>
  </si>
  <si>
    <t>&lt;Median (&lt;Threshold)</t>
  </si>
  <si>
    <t>~Enterprise denom size (rounded to nearest 1000)</t>
  </si>
  <si>
    <t>AHA Target BP Recognition</t>
  </si>
  <si>
    <t>MSSP Web Interface measure</t>
  </si>
  <si>
    <t>MSSP eCMQ Measure</t>
  </si>
  <si>
    <t>MSSP MIPs CMQ Measure</t>
  </si>
  <si>
    <t>MW Rewards $$</t>
  </si>
  <si>
    <t>SE Rewards $$</t>
  </si>
  <si>
    <t>MW # Agreements</t>
  </si>
  <si>
    <t>SE # Agreements</t>
  </si>
  <si>
    <t>Total Rewards $$</t>
  </si>
  <si>
    <t>Total # Agreements</t>
  </si>
  <si>
    <t>Plan All Cause Readmissions</t>
  </si>
  <si>
    <t>Asthma Medication Ratio</t>
  </si>
  <si>
    <t>Chlamydia Screening in Women</t>
  </si>
  <si>
    <t>PPC - Post Partum</t>
  </si>
  <si>
    <t>Proportion of Days Covered - Diabetes All Classes</t>
  </si>
  <si>
    <t>Antidepressant Medication</t>
  </si>
  <si>
    <t>Diabetes Med Adherence</t>
  </si>
  <si>
    <t>Statin Med Adherence (chol)</t>
  </si>
  <si>
    <t>HTN Med Adherence (RAS Antagonists)</t>
  </si>
  <si>
    <t>COA - Pain Assessment</t>
  </si>
  <si>
    <t>COA - Functional Status Assessment</t>
  </si>
  <si>
    <t>COA - Med Review</t>
  </si>
  <si>
    <t>Patient Experience</t>
  </si>
  <si>
    <t>Getting Care Needed</t>
  </si>
  <si>
    <t xml:space="preserve">Care Coordination </t>
  </si>
  <si>
    <t>ER Visits/1000</t>
  </si>
  <si>
    <t>Med Rec Post Discharge</t>
  </si>
  <si>
    <t>Follow up After ED for Multiple Chronic Conditions</t>
  </si>
  <si>
    <t>Extended Day Prescription MAD</t>
  </si>
  <si>
    <t>Extended Day Prescription MAH</t>
  </si>
  <si>
    <t>Extended Day Prescription MAC</t>
  </si>
  <si>
    <t>Other VBC Measures</t>
  </si>
  <si>
    <t>X</t>
  </si>
  <si>
    <t>Hospital Admissions for Persons with Multiple Chronic Conditions</t>
  </si>
  <si>
    <t>Reducing the Risk of Falling</t>
  </si>
  <si>
    <t>BMP, CMP or Renal Panel (UHC MA Gate Measure)</t>
  </si>
  <si>
    <t>Call Center Foreign Language Interpreter and TTY Availabllity</t>
  </si>
  <si>
    <t>Members Choosing to Leave the Plan</t>
  </si>
  <si>
    <t>Getting Appointments and Care Quickly</t>
  </si>
  <si>
    <t>Drug Plan Quality Improvement</t>
  </si>
  <si>
    <t>Health Plan Quality Improvement</t>
  </si>
  <si>
    <t>ER Escalation to Inpatient Actual to Expected</t>
  </si>
  <si>
    <t>Length of Stay Actual to Expected</t>
  </si>
  <si>
    <t>Potentially Avoidable Admissions</t>
  </si>
  <si>
    <t>Rating of Health Care Quality</t>
  </si>
  <si>
    <t>Complaints about the Drug Plan</t>
  </si>
  <si>
    <t>Complaints about the Health Plan</t>
  </si>
  <si>
    <t>Customer Service</t>
  </si>
  <si>
    <t>Getting Needed Prescription Drugs</t>
  </si>
  <si>
    <t>Plan Makes Timely Decisions about Appeals</t>
  </si>
  <si>
    <t>Rating of Drug Plan</t>
  </si>
  <si>
    <t>Rating of Health Plan</t>
  </si>
  <si>
    <t>Reviewing Appeals Decisions</t>
  </si>
  <si>
    <t>Imaging Studies for Low Back Pain</t>
  </si>
  <si>
    <t>UOD: Use of Opioids at High Dosage</t>
  </si>
  <si>
    <t>Timely Follow-Up After Acute Exacerbations of Chronic Conditions</t>
  </si>
  <si>
    <t>Combined Behavioral Health (CBH)</t>
  </si>
  <si>
    <t>Appropriate Testing Children with Pharyngitis</t>
  </si>
  <si>
    <t>AppropriateTreatment Children Upper Respiratory Infection</t>
  </si>
  <si>
    <t>Persistence of Beta- Blocker Treatment After a Heart Attack</t>
  </si>
  <si>
    <t>Avoidance of Antibiotics for Bronchitis</t>
  </si>
  <si>
    <t>Reduce ED Per Thousand Visits</t>
  </si>
  <si>
    <t>MTM Program Completion Rate for CMR</t>
  </si>
  <si>
    <t>Total Members in Complex Case Management or Tier 2 Condition Management Programs</t>
  </si>
  <si>
    <t>Transitions of Care</t>
  </si>
  <si>
    <t>7 Day Follow-up After ER Visit</t>
  </si>
  <si>
    <t>Health Equity Social Determinants of Health Initiative</t>
  </si>
  <si>
    <t>Improving Bladder Control</t>
  </si>
  <si>
    <t>Monitoring Physical Activity</t>
  </si>
  <si>
    <t>MPF Price Accuracy</t>
  </si>
  <si>
    <t>Special Needs Plan (SNP) Care Management</t>
  </si>
  <si>
    <t>Follow-Up After Emergency Department Visit for Mental Illness - 30 days (FUM)</t>
  </si>
  <si>
    <t>Follow-Up After Hospitalization for Mental Illness - 30 days (FUH)</t>
  </si>
  <si>
    <t>Social Determinants of Health in CCM Care Plan</t>
  </si>
  <si>
    <t>Doctor Patient Conversations</t>
  </si>
  <si>
    <t>Access to Medical Records</t>
  </si>
  <si>
    <t>Adolescent &amp; Young Adult Depression Screening</t>
  </si>
  <si>
    <t>Combined Antibiotic Stewardship Project</t>
  </si>
  <si>
    <t>Race/Ethnicity Language Data Collection</t>
  </si>
  <si>
    <t>7 Day Follow-up After Hospitalization</t>
  </si>
  <si>
    <t>Brand Formulary Compliance Rate: Commercial &lt;18</t>
  </si>
  <si>
    <t>Electronic prior auth</t>
  </si>
  <si>
    <t>Generic dispensing</t>
  </si>
  <si>
    <t>Provider access to real time benefit</t>
  </si>
  <si>
    <t>Diabetes Screening People with Schizophrenia or biopolar using antipsychotic medication</t>
  </si>
  <si>
    <t>Follow up on Test Results</t>
  </si>
  <si>
    <t>Initiation of Alcohol or Drug Dependence Treatment</t>
  </si>
  <si>
    <t>Engagement of Alcohol/Drug Dep Tmt</t>
  </si>
  <si>
    <t>Actively Promotes and Refers Members to Appropriate Community Resources</t>
  </si>
  <si>
    <t>Assessment of Barriers</t>
  </si>
  <si>
    <t>Assessment of Community Resources</t>
  </si>
  <si>
    <t>CCM Goal Setting</t>
  </si>
  <si>
    <t>CCM Initial Assessment Timeframes</t>
  </si>
  <si>
    <t>Stratify Asthma Members Appropriately</t>
  </si>
  <si>
    <t>Stratify Diabetes Members</t>
  </si>
  <si>
    <t>Initiation &amp; Engagement of AODA Treatment (IET)</t>
  </si>
  <si>
    <t>Potentially Avoidable ER</t>
  </si>
  <si>
    <t>Rheumatoid Arthritis Management</t>
  </si>
  <si>
    <t>ACO Reach</t>
  </si>
  <si>
    <t>Enterprise performance (Scoring Level) as of June 2024</t>
  </si>
  <si>
    <t>Enterprise performance (Scoring Level)  as of June 2024</t>
  </si>
  <si>
    <t>Denominator size (rounded to nearest 1000)</t>
  </si>
  <si>
    <t xml:space="preserve">Enterprise performance (Scoring Level)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</si>
</sst>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2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Calibri"/>
      <family val="2"/>
      <scheme val="minor"/>
    </font>
    <font>
      <b/>
      <sz val="12"/>
      <color rgb="FFFF0000"/>
      <name val="Arial Narrow"/>
      <family val="2"/>
    </font>
    <font>
      <b/>
      <sz val="16"/>
      <color theme="1"/>
      <name val="Arial Narrow"/>
      <family val="2"/>
    </font>
    <font>
      <sz val="16"/>
      <color theme="1"/>
      <name val="Arial Narrow"/>
      <family val="2"/>
    </font>
    <font>
      <b/>
      <sz val="12"/>
      <color theme="1"/>
      <name val="Arial Narrow"/>
      <family val="2"/>
    </font>
    <font>
      <sz val="8"/>
      <name val="Calibri"/>
      <family val="2"/>
      <scheme val="minor"/>
    </font>
    <font>
      <sz val="14"/>
      <color theme="1"/>
      <name val="Arial Narrow"/>
      <family val="2"/>
    </font>
    <font>
      <b/>
      <sz val="16"/>
      <color rgb="FF000000"/>
      <name val="Arial Narrow"/>
      <family val="2"/>
    </font>
    <font>
      <b/>
      <sz val="16"/>
      <color indexed="8"/>
      <name val="Arial Narrow"/>
      <family val="2"/>
    </font>
    <font>
      <b/>
      <sz val="16"/>
      <name val="Arial Narrow"/>
      <family val="2"/>
    </font>
    <font>
      <sz val="12"/>
      <color rgb="FF000000"/>
      <name val="Arial Narrow"/>
      <family val="2"/>
    </font>
    <font>
      <sz val="12"/>
      <color indexed="8"/>
      <name val="Arial Narrow"/>
      <family val="2"/>
    </font>
    <font>
      <sz val="12"/>
      <name val="Arial Narrow"/>
      <family val="2"/>
    </font>
    <font>
      <b/>
      <sz val="14"/>
      <color theme="1"/>
      <name val="Arial Narrow"/>
      <family val="2"/>
    </font>
    <font>
      <i/>
      <sz val="12"/>
      <color theme="1"/>
      <name val="Arial Narrow"/>
      <family val="2"/>
    </font>
    <font>
      <sz val="16"/>
      <color rgb="FFFF0000"/>
      <name val="Arial Narrow"/>
      <family val="2"/>
    </font>
    <font>
      <b/>
      <sz val="18"/>
      <color rgb="FF000000"/>
      <name val="Calibri"/>
      <family val="2"/>
      <scheme val="minor"/>
    </font>
    <font>
      <b/>
      <sz val="10"/>
      <color rgb="FFFFFFFF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Aptos Narrow"/>
      <family val="2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572C5F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/>
        <bgColor rgb="FF000000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 style="thin">
        <color rgb="FF808080"/>
      </right>
      <top style="thin">
        <color rgb="FFBFBFBF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indexed="64"/>
      </left>
      <right style="thin">
        <color rgb="FF80808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1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5" fillId="2" borderId="1" xfId="0" applyFont="1" applyFill="1" applyBorder="1" applyAlignment="1">
      <alignment vertical="top" wrapText="1"/>
    </xf>
    <xf numFmtId="0" fontId="6" fillId="0" borderId="0" xfId="0" applyFont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5" fillId="2" borderId="6" xfId="0" applyFont="1" applyFill="1" applyBorder="1" applyAlignment="1">
      <alignment horizontal="center" vertical="top" wrapText="1"/>
    </xf>
    <xf numFmtId="0" fontId="5" fillId="5" borderId="2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/>
    <xf numFmtId="0" fontId="7" fillId="0" borderId="7" xfId="0" applyFont="1" applyBorder="1" applyAlignment="1">
      <alignment horizontal="center" vertical="center"/>
    </xf>
    <xf numFmtId="41" fontId="4" fillId="0" borderId="0" xfId="1" applyNumberFormat="1" applyFont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5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3" fillId="0" borderId="0" xfId="0" applyFont="1" applyAlignment="1">
      <alignment horizontal="center"/>
    </xf>
    <xf numFmtId="49" fontId="15" fillId="3" borderId="1" xfId="0" applyNumberFormat="1" applyFont="1" applyFill="1" applyBorder="1" applyAlignment="1">
      <alignment horizontal="center" vertical="center" wrapText="1"/>
    </xf>
    <xf numFmtId="0" fontId="16" fillId="4" borderId="1" xfId="0" quotePrefix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1" fillId="0" borderId="2" xfId="1" applyNumberFormat="1" applyFont="1" applyBorder="1" applyAlignment="1">
      <alignment horizontal="center" vertical="top" wrapText="1"/>
    </xf>
    <xf numFmtId="41" fontId="3" fillId="0" borderId="8" xfId="1" applyNumberFormat="1" applyFont="1" applyBorder="1" applyAlignment="1">
      <alignment horizontal="center" vertical="center"/>
    </xf>
    <xf numFmtId="41" fontId="3" fillId="0" borderId="3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2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3" fillId="0" borderId="0" xfId="0" applyFont="1" applyAlignment="1">
      <alignment horizontal="center" vertical="center"/>
    </xf>
    <xf numFmtId="17" fontId="2" fillId="0" borderId="0" xfId="0" applyNumberFormat="1" applyFont="1"/>
    <xf numFmtId="9" fontId="2" fillId="0" borderId="0" xfId="0" applyNumberFormat="1" applyFont="1"/>
    <xf numFmtId="9" fontId="23" fillId="0" borderId="0" xfId="0" applyNumberFormat="1" applyFont="1" applyAlignment="1">
      <alignment horizontal="center" vertical="center"/>
    </xf>
    <xf numFmtId="0" fontId="9" fillId="0" borderId="1" xfId="0" applyFont="1" applyBorder="1" applyAlignment="1">
      <alignment horizontal="center"/>
    </xf>
    <xf numFmtId="49" fontId="18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9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4" fillId="6" borderId="9" xfId="0" applyFont="1" applyFill="1" applyBorder="1" applyAlignment="1">
      <alignment horizontal="left" vertical="top" wrapText="1"/>
    </xf>
    <xf numFmtId="0" fontId="24" fillId="6" borderId="10" xfId="0" applyFont="1" applyFill="1" applyBorder="1" applyAlignment="1">
      <alignment horizontal="center" vertical="top" wrapText="1"/>
    </xf>
    <xf numFmtId="0" fontId="25" fillId="0" borderId="11" xfId="0" applyFont="1" applyBorder="1" applyAlignment="1">
      <alignment horizontal="left" vertical="top" indent="1"/>
    </xf>
    <xf numFmtId="10" fontId="26" fillId="0" borderId="12" xfId="0" applyNumberFormat="1" applyFont="1" applyBorder="1" applyAlignment="1">
      <alignment horizontal="center" vertical="top"/>
    </xf>
    <xf numFmtId="3" fontId="26" fillId="0" borderId="12" xfId="0" applyNumberFormat="1" applyFont="1" applyBorder="1" applyAlignment="1">
      <alignment horizontal="center" vertical="top"/>
    </xf>
    <xf numFmtId="3" fontId="0" fillId="0" borderId="0" xfId="0" applyNumberFormat="1"/>
    <xf numFmtId="0" fontId="25" fillId="0" borderId="13" xfId="0" applyFont="1" applyBorder="1" applyAlignment="1">
      <alignment horizontal="left" vertical="top" indent="1"/>
    </xf>
    <xf numFmtId="0" fontId="25" fillId="0" borderId="0" xfId="0" applyFont="1" applyAlignment="1">
      <alignment horizontal="left" vertical="top" indent="1"/>
    </xf>
    <xf numFmtId="3" fontId="7" fillId="5" borderId="0" xfId="0" applyNumberFormat="1" applyFont="1" applyFill="1"/>
    <xf numFmtId="0" fontId="7" fillId="5" borderId="0" xfId="0" applyFont="1" applyFill="1"/>
    <xf numFmtId="0" fontId="0" fillId="0" borderId="0" xfId="0" applyAlignment="1">
      <alignment vertical="center" wrapText="1"/>
    </xf>
    <xf numFmtId="1" fontId="4" fillId="0" borderId="1" xfId="1" applyNumberFormat="1" applyFont="1" applyBorder="1" applyAlignment="1">
      <alignment horizontal="center" wrapText="1"/>
    </xf>
    <xf numFmtId="1" fontId="2" fillId="3" borderId="1" xfId="1" applyNumberFormat="1" applyFont="1" applyFill="1" applyBorder="1" applyAlignment="1">
      <alignment horizontal="center" vertical="center" wrapText="1"/>
    </xf>
    <xf numFmtId="1" fontId="2" fillId="0" borderId="1" xfId="1" applyNumberFormat="1" applyFont="1" applyFill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center" vertical="center" wrapText="1"/>
    </xf>
    <xf numFmtId="1" fontId="4" fillId="0" borderId="1" xfId="1" applyNumberFormat="1" applyFont="1" applyBorder="1" applyAlignment="1">
      <alignment horizontal="center"/>
    </xf>
    <xf numFmtId="3" fontId="27" fillId="0" borderId="12" xfId="0" applyNumberFormat="1" applyFont="1" applyBorder="1" applyAlignment="1">
      <alignment horizontal="center" vertical="center"/>
    </xf>
    <xf numFmtId="0" fontId="19" fillId="8" borderId="1" xfId="0" applyFont="1" applyFill="1" applyBorder="1" applyAlignment="1">
      <alignment vertical="center" wrapText="1"/>
    </xf>
    <xf numFmtId="49" fontId="17" fillId="9" borderId="1" xfId="0" applyNumberFormat="1" applyFont="1" applyFill="1" applyBorder="1" applyAlignment="1">
      <alignment vertical="center" wrapText="1"/>
    </xf>
    <xf numFmtId="0" fontId="2" fillId="9" borderId="1" xfId="0" applyFont="1" applyFill="1" applyBorder="1"/>
    <xf numFmtId="0" fontId="19" fillId="8" borderId="1" xfId="0" quotePrefix="1" applyFont="1" applyFill="1" applyBorder="1" applyAlignment="1">
      <alignment vertical="center" wrapText="1"/>
    </xf>
    <xf numFmtId="0" fontId="19" fillId="8" borderId="0" xfId="0" quotePrefix="1" applyFont="1" applyFill="1" applyAlignment="1">
      <alignment vertical="center" wrapText="1"/>
    </xf>
    <xf numFmtId="0" fontId="4" fillId="9" borderId="1" xfId="0" applyFont="1" applyFill="1" applyBorder="1" applyAlignment="1">
      <alignment horizontal="left" vertical="center"/>
    </xf>
    <xf numFmtId="0" fontId="4" fillId="9" borderId="1" xfId="0" applyFont="1" applyFill="1" applyBorder="1" applyAlignment="1">
      <alignment vertical="center"/>
    </xf>
    <xf numFmtId="0" fontId="16" fillId="8" borderId="1" xfId="0" quotePrefix="1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 wrapText="1"/>
    </xf>
    <xf numFmtId="37" fontId="1" fillId="9" borderId="1" xfId="1" applyNumberFormat="1" applyFont="1" applyFill="1" applyBorder="1" applyAlignment="1">
      <alignment horizontal="center" vertical="center" wrapText="1"/>
    </xf>
    <xf numFmtId="1" fontId="2" fillId="9" borderId="1" xfId="1" applyNumberFormat="1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49" fontId="14" fillId="9" borderId="1" xfId="0" applyNumberFormat="1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/>
    </xf>
    <xf numFmtId="37" fontId="1" fillId="9" borderId="1" xfId="1" applyNumberFormat="1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/>
    </xf>
    <xf numFmtId="0" fontId="10" fillId="9" borderId="1" xfId="0" applyFont="1" applyFill="1" applyBorder="1" applyAlignment="1">
      <alignment horizontal="center"/>
    </xf>
    <xf numFmtId="1" fontId="4" fillId="9" borderId="1" xfId="1" applyNumberFormat="1" applyFont="1" applyFill="1" applyBorder="1" applyAlignment="1">
      <alignment horizontal="center" vertical="center" wrapText="1"/>
    </xf>
    <xf numFmtId="1" fontId="0" fillId="9" borderId="1" xfId="0" applyNumberFormat="1" applyFill="1" applyBorder="1" applyAlignment="1">
      <alignment horizontal="center" vertical="center" wrapText="1"/>
    </xf>
    <xf numFmtId="38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38" fontId="27" fillId="0" borderId="1" xfId="0" applyNumberFormat="1" applyFont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 vertical="center"/>
    </xf>
    <xf numFmtId="1" fontId="27" fillId="7" borderId="1" xfId="0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27" fillId="9" borderId="1" xfId="0" applyNumberFormat="1" applyFont="1" applyFill="1" applyBorder="1" applyAlignment="1">
      <alignment horizontal="center" vertical="center"/>
    </xf>
    <xf numFmtId="1" fontId="27" fillId="8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9" fillId="0" borderId="0" xfId="0" applyFont="1" applyAlignment="1">
      <alignment horizontal="center" vertical="center" wrapText="1"/>
    </xf>
    <xf numFmtId="164" fontId="2" fillId="0" borderId="0" xfId="2" applyNumberFormat="1" applyFont="1" applyAlignment="1">
      <alignment horizontal="center"/>
    </xf>
    <xf numFmtId="164" fontId="27" fillId="7" borderId="0" xfId="2" applyNumberFormat="1" applyFont="1" applyFill="1" applyBorder="1" applyAlignment="1">
      <alignment horizontal="center"/>
    </xf>
    <xf numFmtId="164" fontId="27" fillId="0" borderId="0" xfId="2" applyNumberFormat="1" applyFont="1" applyBorder="1" applyAlignment="1">
      <alignment horizontal="center"/>
    </xf>
    <xf numFmtId="0" fontId="29" fillId="0" borderId="0" xfId="0" applyFont="1" applyAlignment="1">
      <alignment vertical="center" wrapText="1"/>
    </xf>
    <xf numFmtId="0" fontId="27" fillId="0" borderId="0" xfId="0" applyFont="1" applyAlignment="1">
      <alignment wrapText="1"/>
    </xf>
    <xf numFmtId="164" fontId="27" fillId="0" borderId="1" xfId="2" applyNumberFormat="1" applyFont="1" applyBorder="1" applyAlignment="1">
      <alignment horizontal="center" vertical="center"/>
    </xf>
    <xf numFmtId="164" fontId="27" fillId="7" borderId="1" xfId="2" applyNumberFormat="1" applyFont="1" applyFill="1" applyBorder="1" applyAlignment="1">
      <alignment horizontal="center" vertical="center"/>
    </xf>
    <xf numFmtId="164" fontId="27" fillId="9" borderId="1" xfId="2" applyNumberFormat="1" applyFont="1" applyFill="1" applyBorder="1" applyAlignment="1">
      <alignment horizontal="center" vertical="center"/>
    </xf>
    <xf numFmtId="164" fontId="0" fillId="9" borderId="1" xfId="2" applyNumberFormat="1" applyFont="1" applyFill="1" applyBorder="1" applyAlignment="1">
      <alignment horizontal="center" vertical="center" wrapText="1"/>
    </xf>
    <xf numFmtId="164" fontId="27" fillId="8" borderId="1" xfId="2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28" fillId="0" borderId="0" xfId="0" applyFont="1" applyAlignment="1">
      <alignment wrapText="1"/>
    </xf>
    <xf numFmtId="0" fontId="5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center" vertical="top" wrapText="1"/>
    </xf>
    <xf numFmtId="0" fontId="11" fillId="0" borderId="2" xfId="1" applyNumberFormat="1" applyFont="1" applyFill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164" fontId="27" fillId="0" borderId="1" xfId="2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 wrapText="1"/>
    </xf>
    <xf numFmtId="0" fontId="19" fillId="0" borderId="0" xfId="0" quotePrefix="1" applyFont="1" applyAlignment="1">
      <alignment vertical="center" wrapText="1"/>
    </xf>
    <xf numFmtId="49" fontId="17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634999</xdr:colOff>
      <xdr:row>2</xdr:row>
      <xdr:rowOff>211667</xdr:rowOff>
    </xdr:from>
    <xdr:to>
      <xdr:col>40</xdr:col>
      <xdr:colOff>223419</xdr:colOff>
      <xdr:row>17</xdr:row>
      <xdr:rowOff>247332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2DF732D-0CDE-67B9-A885-DD670733D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129249" y="1259417"/>
          <a:ext cx="8383170" cy="53061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423333</xdr:colOff>
      <xdr:row>2</xdr:row>
      <xdr:rowOff>63500</xdr:rowOff>
    </xdr:from>
    <xdr:to>
      <xdr:col>40</xdr:col>
      <xdr:colOff>126069</xdr:colOff>
      <xdr:row>17</xdr:row>
      <xdr:rowOff>118218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DB503BD-D74D-7AD4-94F1-0A0332385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07000" y="1111250"/>
          <a:ext cx="8497486" cy="532521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Brown, Karri" id="{A3AD0938-60A3-40BD-9F23-E12570FAE1EE}" userId="S::Karri.Brown@aah.org::b1b5514c-3d25-4779-8e20-bffd6d421754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T13" dT="2024-06-18T23:09:19.63" personId="{A3AD0938-60A3-40BD-9F23-E12570FAE1EE}" id="{FD20E790-6F47-422A-BA7B-4047C1C75241}">
    <text>MW pop only (from HEI) - CI Pop only so does not include WI unattributed)  + SE pop (from Epic)</text>
  </threadedComment>
  <threadedComment ref="U13" dT="2024-06-18T23:53:11.49" personId="{A3AD0938-60A3-40BD-9F23-E12570FAE1EE}" id="{17960D7D-E28F-40A1-9464-80E9F1A28491}">
    <text>Assigned level 5 since there is no national benchmark for this measure</text>
  </threadedComment>
  <threadedComment ref="T14" dT="2024-06-18T23:03:41.99" personId="{A3AD0938-60A3-40BD-9F23-E12570FAE1EE}" id="{98C284C8-F490-460F-AE0F-EC7E06287EB8}">
    <text xml:space="preserve">MW pop (from HEI - CI Pop only so does not include WI unattributed)  + SE pop (from Epic)
</text>
  </threadedComment>
  <threadedComment ref="U14" dT="2024-06-18T23:53:11.49" personId="{A3AD0938-60A3-40BD-9F23-E12570FAE1EE}" id="{C4D07C85-7AAF-4E63-8CAA-0E8A6281045F}">
    <text>Assigned level 5 since there is no national benchmark for this measure</text>
  </threadedComment>
  <threadedComment ref="T15" dT="2024-06-18T23:03:41.99" personId="{A3AD0938-60A3-40BD-9F23-E12570FAE1EE}" id="{C86A08D6-7787-4324-AA5F-0F9CD3645C19}">
    <text>MW pop (from HEI) + SE pop (from Epic)</text>
  </threadedComment>
  <threadedComment ref="U15" dT="2024-06-18T23:53:11.49" personId="{A3AD0938-60A3-40BD-9F23-E12570FAE1EE}" id="{3A16E88F-BBCA-4A26-9E33-BE548C3AA3FA}">
    <text>Enterprise Rate using HEI pop for MW and Epic for SE, and using A1c enterprise payer mix blend with DEE benchmarks</text>
  </threadedComment>
  <threadedComment ref="T16" dT="2024-06-18T23:03:41.99" personId="{A3AD0938-60A3-40BD-9F23-E12570FAE1EE}" id="{5523DFE8-64C6-4096-A3CB-D52963A32BE1}">
    <text>MW pop only (from HEI - CI Pop only so does not include WI unattributed) + SE pop (from Epic)</text>
  </threadedComment>
  <threadedComment ref="U16" dT="2024-06-18T23:53:11.49" personId="{A3AD0938-60A3-40BD-9F23-E12570FAE1EE}" id="{01958625-5F43-415F-AE8B-7ED181CB8946}">
    <text>Assigned level 5 since there is no national benchmark for this measure</text>
  </threadedComment>
  <threadedComment ref="T17" dT="2024-06-18T23:03:41.99" personId="{A3AD0938-60A3-40BD-9F23-E12570FAE1EE}" id="{3E4673EA-4E76-42E8-82A6-247D47A9416B}">
    <text>MW pop (from HEI) + SE pop (from Epic)</text>
  </threadedComment>
  <threadedComment ref="U17" dT="2024-06-18T23:53:11.49" personId="{A3AD0938-60A3-40BD-9F23-E12570FAE1EE}" id="{B0CC24FB-90C7-481C-BAED-DAC654850F3B}">
    <text>Enterprise Rate using HEI pop for the MW &amp; Epic pop for SE, and MW payer mix blend and ASCVD Statin benchmarks (SE payer mix no available for this measure)</text>
  </threadedComment>
  <threadedComment ref="T18" dT="2024-06-18T23:03:41.99" personId="{A3AD0938-60A3-40BD-9F23-E12570FAE1EE}" id="{7D1CFD24-2553-4D7A-B8D5-6728605E9713}">
    <text>MW pop (from HEI) + SE pop (from Epic)</text>
  </threadedComment>
  <threadedComment ref="U18" dT="2024-06-18T23:53:11.49" personId="{A3AD0938-60A3-40BD-9F23-E12570FAE1EE}" id="{1800E836-5197-4826-A61A-D6309A1E41F4}">
    <text>Enterprise Rate using HEI pop for the MW &amp; Epic pop for SE, and MW payer mix blend and WCV 30 Months benchmarks (SE payer mix no available for this measure)</text>
  </threadedComment>
  <threadedComment ref="T19" dT="2024-06-18T23:03:41.99" personId="{A3AD0938-60A3-40BD-9F23-E12570FAE1EE}" id="{8AED3CFB-10AC-4065-95C2-E915624FA6F4}">
    <text>MW pop only (from HEI), no data for the SE</text>
  </threadedComment>
  <threadedComment ref="U19" dT="2024-06-18T23:53:11.49" personId="{A3AD0938-60A3-40BD-9F23-E12570FAE1EE}" id="{EF756F9C-7CA8-464F-B827-12A13E533437}">
    <text>MW Rate only using HEI pop, and MW payer mix blend and Child Flu benchmarks, no data for the SE</text>
  </threadedComment>
  <threadedComment ref="T20" dT="2024-06-18T23:16:20.95" personId="{A3AD0938-60A3-40BD-9F23-E12570FAE1EE}" id="{5DBA11E9-8431-419F-83B2-ECBA62B39390}">
    <text>MW AAMG pop only (from Epic), no data for Aligned or the SE</text>
  </threadedComment>
  <threadedComment ref="U20" dT="2024-06-18T23:53:11.49" personId="{A3AD0938-60A3-40BD-9F23-E12570FAE1EE}" id="{63C2B579-2A9A-41B5-9D96-4428282EB8C0}">
    <text>MW AAMG Rate only using HEI pop, and assigned level 5 since there is no national benchmark for this measure, , no data for Aligned or the SE</text>
  </threadedComment>
  <threadedComment ref="T21" dT="2024-06-18T23:03:41.99" personId="{A3AD0938-60A3-40BD-9F23-E12570FAE1EE}" id="{6E71C2E6-D94E-4CB9-A0DC-0847C5FD20B3}">
    <text>MW pop only (from HEI), no data for the SE</text>
  </threadedComment>
  <threadedComment ref="U21" dT="2024-06-19T00:18:20.80" personId="{A3AD0938-60A3-40BD-9F23-E12570FAE1EE}" id="{99E996F5-44FA-4856-97C5-A11D59F4ADD2}">
    <text>MW pop &amp; rate using HEI and estimated performance at level 1 as it's it's only 26%, no data for the SE</text>
  </threadedComment>
  <threadedComment ref="T22" dT="2024-06-18T23:03:41.99" personId="{A3AD0938-60A3-40BD-9F23-E12570FAE1EE}" id="{5EF9B454-98CD-4231-BCA2-216011DC77B9}">
    <text>MW pop only (from HEI), no data for the SE</text>
  </threadedComment>
  <threadedComment ref="U22" dT="2024-06-18T23:53:11.49" personId="{A3AD0938-60A3-40BD-9F23-E12570FAE1EE}" id="{A3BBCC4E-EB00-476D-80E1-708105C6F713}">
    <text>MW Rate only using HEI pop, and MW payer mix blend and HPV benchmarks, no data for the SE</text>
  </threadedComment>
  <threadedComment ref="T23" dT="2024-06-18T23:03:41.99" personId="{A3AD0938-60A3-40BD-9F23-E12570FAE1EE}" id="{BC18401D-C950-4AF5-A44A-EAF7C676D99D}">
    <text>MW pop (from HEI) + SE pop (from Epic)</text>
  </threadedComment>
  <threadedComment ref="U23" dT="2024-06-18T23:53:11.49" personId="{A3AD0938-60A3-40BD-9F23-E12570FAE1EE}" id="{3721630D-D5A1-4C74-A8E9-EB64C1A46BBC}">
    <text>Enterprise Rate using HEI pop for the MW &amp; Epic pop for SE, and MW payer mix blend and Child Imm Combo 7 benchmarks (SE payer mix no available for this measure)</text>
  </threadedComment>
  <threadedComment ref="T24" dT="2024-06-18T23:03:41.99" personId="{A3AD0938-60A3-40BD-9F23-E12570FAE1EE}" id="{899B9621-D6FE-4B2B-B447-B487201E2B94}">
    <text>MW pop (from HEI) + SE pop (from Epic)</text>
  </threadedComment>
  <threadedComment ref="U24" dT="2024-06-18T23:53:11.49" personId="{A3AD0938-60A3-40BD-9F23-E12570FAE1EE}" id="{6C07DFD0-18D1-4EA4-B337-6CBEE33701DB}">
    <text>Enterprise Rate using HEI pop for the MW &amp; Epic pop for SE, and MW payer mix blend and WCV 15 Months benchmarks (SE payer mix no available for this measure)</text>
  </threadedComment>
  <threadedComment ref="T25" dT="2024-06-18T23:16:20.95" personId="{A3AD0938-60A3-40BD-9F23-E12570FAE1EE}" id="{220F9E7F-DFF5-4C59-B1E1-DED285EB7653}">
    <text>MW AAMG pop only (from Epic), no data for Aligned or the SE</text>
  </threadedComment>
  <threadedComment ref="U25" dT="2024-06-18T23:53:11.49" personId="{A3AD0938-60A3-40BD-9F23-E12570FAE1EE}" id="{C5E62A9A-770F-4E0C-A585-140A303C1B79}">
    <text>MW AAMG Rate only using HEI pop, and assigned level 5 since there is no national benchmark for this measure, no data for Aligned or the SE</text>
  </threadedComment>
  <threadedComment ref="T26" dT="2024-06-18T23:03:41.99" personId="{A3AD0938-60A3-40BD-9F23-E12570FAE1EE}" id="{82E0EB2C-088F-445F-BCD6-F5DE4F76B56C}">
    <text>MW pop (from HEI) + SE pop (from Epic)</text>
  </threadedComment>
  <threadedComment ref="U26" dT="2024-06-18T23:53:11.49" personId="{A3AD0938-60A3-40BD-9F23-E12570FAE1EE}" id="{8103EFE1-0A55-46D0-9EC2-04449CD46C21}">
    <text>Enterprise Rate using HEI pop for the MW &amp; Epic pop for SE, and MW payer mix blend and Adol Imm Combo 1 benchmarks (SE payer mix no available for this measure)</text>
  </threadedComment>
  <threadedComment ref="T27" dT="2024-06-18T23:03:41.99" personId="{A3AD0938-60A3-40BD-9F23-E12570FAE1EE}" id="{1F376BB9-06CA-482E-8DC7-CAEEA4BE2C7B}">
    <text>MW pop only (from HEI), no data for the SE</text>
  </threadedComment>
  <threadedComment ref="U27" dT="2024-06-19T00:24:16.49" personId="{A3AD0938-60A3-40BD-9F23-E12570FAE1EE}" id="{418F1A6A-6811-4AFA-BA26-A54DD488BD8A}">
    <text>MW pop &amp; rates using HEI and the Medicaid benchmarks for Lead Screening (there is only a Medicaid benchmark), no data for the SE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T13" dT="2024-06-18T23:09:19.63" personId="{A3AD0938-60A3-40BD-9F23-E12570FAE1EE}" id="{824E5CFB-43A6-4C64-9FE6-097FE2C18381}">
    <text>MW pop only (from HEI) - CI Pop only so does not include WI unattributed)  + SE pop (from Epic)</text>
  </threadedComment>
  <threadedComment ref="U13" dT="2024-06-18T23:53:11.49" personId="{A3AD0938-60A3-40BD-9F23-E12570FAE1EE}" id="{9B964446-3F43-4F7C-8F88-A1E68E6DC0CB}">
    <text>Assigned level 5 since there is no national benchmark for this measure</text>
  </threadedComment>
  <threadedComment ref="T14" dT="2024-06-18T23:03:41.99" personId="{A3AD0938-60A3-40BD-9F23-E12570FAE1EE}" id="{4981AB5F-E3D1-4DB0-9FD3-45DBC0D3B4DF}">
    <text xml:space="preserve">MW pop (from HEI - CI Pop only so does not include WI unattributed)  + SE pop (from Epic)
</text>
  </threadedComment>
  <threadedComment ref="U14" dT="2024-06-18T23:53:11.49" personId="{A3AD0938-60A3-40BD-9F23-E12570FAE1EE}" id="{6BA59CEA-DF38-44DC-9557-01343EE72612}">
    <text>Assigned level 5 since there is no national benchmark for this measure</text>
  </threadedComment>
  <threadedComment ref="T15" dT="2024-06-18T23:03:41.99" personId="{A3AD0938-60A3-40BD-9F23-E12570FAE1EE}" id="{A9514708-A8EC-4FB3-845C-CC23ED697EE4}">
    <text>MW pop (from HEI) + SE pop (from Epic)</text>
  </threadedComment>
  <threadedComment ref="U15" dT="2024-06-18T23:53:11.49" personId="{A3AD0938-60A3-40BD-9F23-E12570FAE1EE}" id="{AB5DC0C2-1B21-47CF-9D37-7B97CAD56C4C}">
    <text>Enterprise Rate using HEI pop for MW and Epic for SE, and using A1c enterprise payer mix blend with DEE benchmarks</text>
  </threadedComment>
  <threadedComment ref="T16" dT="2024-06-18T23:03:41.99" personId="{A3AD0938-60A3-40BD-9F23-E12570FAE1EE}" id="{99D19574-1918-4CA3-8F2C-41504532801D}">
    <text>MW pop only (from HEI - CI Pop only so does not include WI unattributed) + SE pop (from Epic)</text>
  </threadedComment>
  <threadedComment ref="U16" dT="2024-06-18T23:53:11.49" personId="{A3AD0938-60A3-40BD-9F23-E12570FAE1EE}" id="{F7F31A25-0E97-42F0-9716-FC56EBE023A0}">
    <text>Assigned level 5 since there is no national benchmark for this measure</text>
  </threadedComment>
  <threadedComment ref="T17" dT="2024-06-18T23:03:41.99" personId="{A3AD0938-60A3-40BD-9F23-E12570FAE1EE}" id="{5B045BF9-4E03-4535-BB82-5E5A6B1DB542}">
    <text>MW pop (from HEI) + SE pop (from Epic)</text>
  </threadedComment>
  <threadedComment ref="U17" dT="2024-06-18T23:53:11.49" personId="{A3AD0938-60A3-40BD-9F23-E12570FAE1EE}" id="{FAE00A9F-1F93-4617-8F2C-8C60F0427CD6}">
    <text>Enterprise Rate using HEI pop for the MW &amp; Epic pop for SE, and MW payer mix blend and ASCVD Statin benchmarks (SE payer mix no available for this measure)</text>
  </threadedComment>
  <threadedComment ref="T18" dT="2024-06-18T23:03:41.99" personId="{A3AD0938-60A3-40BD-9F23-E12570FAE1EE}" id="{FC68FC21-59C0-4C87-80D1-69AA90269E47}">
    <text>MW pop (from HEI) + SE pop (from Epic)</text>
  </threadedComment>
  <threadedComment ref="U18" dT="2024-06-18T23:53:11.49" personId="{A3AD0938-60A3-40BD-9F23-E12570FAE1EE}" id="{EF16714D-B5C2-414A-B74B-0CCEA04ACA05}">
    <text>Enterprise Rate using HEI pop for the MW &amp; Epic pop for SE, and MW payer mix blend and WCV 30 Months benchmarks (SE payer mix no available for this measure)</text>
  </threadedComment>
  <threadedComment ref="T19" dT="2024-06-18T23:03:41.99" personId="{A3AD0938-60A3-40BD-9F23-E12570FAE1EE}" id="{A35FFC81-5343-47A2-9FCC-BA175964B590}">
    <text>MW pop only (from HEI), no data for the SE</text>
  </threadedComment>
  <threadedComment ref="U19" dT="2024-06-18T23:53:11.49" personId="{A3AD0938-60A3-40BD-9F23-E12570FAE1EE}" id="{F064EF7D-5C42-4C0B-89F6-3708A901FF2C}">
    <text>MW Rate only using HEI pop, and MW payer mix blend and Child Flu benchmarks, no data for the SE</text>
  </threadedComment>
  <threadedComment ref="T20" dT="2024-06-18T23:16:20.95" personId="{A3AD0938-60A3-40BD-9F23-E12570FAE1EE}" id="{22C04369-9D1D-419D-A292-47834EF41763}">
    <text>MW AAMG pop only (from Epic), no data for Aligned or the SE</text>
  </threadedComment>
  <threadedComment ref="U20" dT="2024-06-18T23:53:11.49" personId="{A3AD0938-60A3-40BD-9F23-E12570FAE1EE}" id="{EC62EEB5-E29C-4F76-BDC9-AC415DA459BD}">
    <text>MW AAMG Rate only using HEI pop, and assigned level 5 since there is no national benchmark for this measure, , no data for Aligned or the SE</text>
  </threadedComment>
  <threadedComment ref="T21" dT="2024-06-18T23:03:41.99" personId="{A3AD0938-60A3-40BD-9F23-E12570FAE1EE}" id="{6196BC13-1CF5-48BD-A0FA-EA415490B60E}">
    <text>MW pop only (from HEI), no data for the SE</text>
  </threadedComment>
  <threadedComment ref="U21" dT="2024-06-19T00:18:20.80" personId="{A3AD0938-60A3-40BD-9F23-E12570FAE1EE}" id="{E5D814E4-EE47-4CE3-BA2D-4DF7C5D3EBB7}">
    <text>MW pop &amp; rate using HEI and estimated performance at level 1 as it's it's only 26%, no data for the SE</text>
  </threadedComment>
  <threadedComment ref="T22" dT="2024-06-18T23:03:41.99" personId="{A3AD0938-60A3-40BD-9F23-E12570FAE1EE}" id="{D1CBF712-7E9B-4840-90EC-F0EFFECEC226}">
    <text>MW pop only (from HEI), no data for the SE</text>
  </threadedComment>
  <threadedComment ref="U22" dT="2024-06-18T23:53:11.49" personId="{A3AD0938-60A3-40BD-9F23-E12570FAE1EE}" id="{0688755F-DEF2-4EE8-96E2-E405A4B48F6A}">
    <text>MW Rate only using HEI pop, and MW payer mix blend and HPV benchmarks, no data for the SE</text>
  </threadedComment>
  <threadedComment ref="T23" dT="2024-06-18T23:03:41.99" personId="{A3AD0938-60A3-40BD-9F23-E12570FAE1EE}" id="{A0553F73-9215-4F0E-9306-061B850BC4EF}">
    <text>MW pop (from HEI) + SE pop (from Epic)</text>
  </threadedComment>
  <threadedComment ref="U23" dT="2024-06-18T23:53:11.49" personId="{A3AD0938-60A3-40BD-9F23-E12570FAE1EE}" id="{A42A0B1D-E96A-4788-9E31-B760247367FA}">
    <text>Enterprise Rate using HEI pop for the MW &amp; Epic pop for SE, and MW payer mix blend and Child Imm Combo 7 benchmarks (SE payer mix no available for this measure)</text>
  </threadedComment>
  <threadedComment ref="T24" dT="2024-06-18T23:03:41.99" personId="{A3AD0938-60A3-40BD-9F23-E12570FAE1EE}" id="{ED281CBF-E664-44D4-8786-F0F3535D7CBE}">
    <text>MW pop (from HEI) + SE pop (from Epic)</text>
  </threadedComment>
  <threadedComment ref="U24" dT="2024-06-18T23:53:11.49" personId="{A3AD0938-60A3-40BD-9F23-E12570FAE1EE}" id="{FE1ED150-A313-4084-A681-DB54D9F1F480}">
    <text>Enterprise Rate using HEI pop for the MW &amp; Epic pop for SE, and MW payer mix blend and WCV 15 Months benchmarks (SE payer mix no available for this measure)</text>
  </threadedComment>
  <threadedComment ref="T25" dT="2024-06-18T23:16:20.95" personId="{A3AD0938-60A3-40BD-9F23-E12570FAE1EE}" id="{35BA0244-B7C1-43AA-A976-BDDC5696E2F2}">
    <text>MW AAMG pop only (from Epic), no data for Aligned or the SE</text>
  </threadedComment>
  <threadedComment ref="U25" dT="2024-06-18T23:53:11.49" personId="{A3AD0938-60A3-40BD-9F23-E12570FAE1EE}" id="{3BCCF1BC-7CBF-450F-9548-AF2755AA370C}">
    <text>MW AAMG Rate only using HEI pop, and assigned level 5 since there is no national benchmark for this measure, no data for Aligned or the SE</text>
  </threadedComment>
  <threadedComment ref="T26" dT="2024-06-18T23:03:41.99" personId="{A3AD0938-60A3-40BD-9F23-E12570FAE1EE}" id="{0686BAB9-8CFF-4486-9EA3-487FB57CF90A}">
    <text>MW pop (from HEI) + SE pop (from Epic)</text>
  </threadedComment>
  <threadedComment ref="U26" dT="2024-06-18T23:53:11.49" personId="{A3AD0938-60A3-40BD-9F23-E12570FAE1EE}" id="{2549A347-17E3-492F-A0FD-16D2CB381EBA}">
    <text>Enterprise Rate using HEI pop for the MW &amp; Epic pop for SE, and MW payer mix blend and Adol Imm Combo 1 benchmarks (SE payer mix no available for this measure)</text>
  </threadedComment>
  <threadedComment ref="T27" dT="2024-06-18T23:03:41.99" personId="{A3AD0938-60A3-40BD-9F23-E12570FAE1EE}" id="{D7B77CAD-9A34-499F-BBBB-1A287ECA226A}">
    <text>MW pop only (from HEI), no data for the SE</text>
  </threadedComment>
  <threadedComment ref="U27" dT="2024-06-19T00:24:16.49" personId="{A3AD0938-60A3-40BD-9F23-E12570FAE1EE}" id="{A6AD82E0-18EC-49C4-AD04-5AA800E4CACD}">
    <text>MW pop &amp; rates using HEI and the Medicaid benchmarks for Lead Screening (there is only a Medicaid benchmark), no data for the SE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0A239-2CFA-4A04-BD22-E8DE9BCA6DE3}">
  <dimension ref="A1:M115"/>
  <sheetViews>
    <sheetView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31" sqref="G31"/>
    </sheetView>
  </sheetViews>
  <sheetFormatPr defaultColWidth="9.1796875" defaultRowHeight="15.5" x14ac:dyDescent="0.35"/>
  <cols>
    <col min="1" max="1" width="36.7265625" style="4" customWidth="1"/>
    <col min="2" max="3" width="14.81640625" style="3" customWidth="1"/>
    <col min="4" max="4" width="18.1796875" style="24" customWidth="1"/>
    <col min="5" max="5" width="26.54296875" style="24" customWidth="1"/>
    <col min="6" max="7" width="9.7265625" style="3" customWidth="1"/>
    <col min="8" max="9" width="11.81640625" style="3" customWidth="1"/>
    <col min="10" max="10" width="7.26953125" style="4" customWidth="1"/>
    <col min="11" max="11" width="21.453125" style="4" customWidth="1"/>
    <col min="12" max="16384" width="9.1796875" style="4"/>
  </cols>
  <sheetData>
    <row r="1" spans="1:13" s="28" customFormat="1" ht="33.75" customHeight="1" thickBot="1" x14ac:dyDescent="0.4">
      <c r="A1" s="60"/>
      <c r="B1" s="138"/>
      <c r="C1" s="139"/>
      <c r="D1" s="41" t="s">
        <v>38</v>
      </c>
      <c r="E1" s="42" t="s">
        <v>1</v>
      </c>
      <c r="F1" s="137" t="s">
        <v>22</v>
      </c>
      <c r="G1" s="138"/>
      <c r="H1" s="138"/>
      <c r="I1" s="139"/>
      <c r="J1" s="46"/>
    </row>
    <row r="2" spans="1:13" s="6" customFormat="1" ht="64.5" customHeight="1" x14ac:dyDescent="0.4">
      <c r="A2" s="128" t="s">
        <v>0</v>
      </c>
      <c r="B2" s="129" t="s">
        <v>111</v>
      </c>
      <c r="C2" s="129" t="s">
        <v>112</v>
      </c>
      <c r="D2" s="130" t="s">
        <v>204</v>
      </c>
      <c r="E2" s="130" t="s">
        <v>205</v>
      </c>
      <c r="F2" s="131" t="s">
        <v>31</v>
      </c>
      <c r="G2" s="131" t="s">
        <v>32</v>
      </c>
      <c r="H2" s="131" t="s">
        <v>1</v>
      </c>
      <c r="I2" s="131" t="s">
        <v>2</v>
      </c>
      <c r="J2" s="47"/>
      <c r="K2" s="7"/>
    </row>
    <row r="3" spans="1:13" s="7" customFormat="1" ht="27" customHeight="1" x14ac:dyDescent="0.35">
      <c r="A3" s="56" t="s">
        <v>16</v>
      </c>
      <c r="B3" s="132">
        <v>0</v>
      </c>
      <c r="C3" s="105">
        <v>0</v>
      </c>
      <c r="D3" s="77">
        <v>1</v>
      </c>
      <c r="E3" s="74">
        <v>1</v>
      </c>
      <c r="F3" s="14" t="str">
        <f t="shared" ref="F3:F27" si="0">IF(B3&gt;5000000,"5",IF(B3&gt;3000000,"4",IF(B3&gt;1000000,"3",IF(B3&gt;500000,"2",IF(B3&gt;-1,"1","-")))))</f>
        <v>1</v>
      </c>
      <c r="G3" s="14" t="str">
        <f t="shared" ref="G3:G8" si="1">IF(D3&gt;1000000,"5",IF(D3&gt;500000,"4",IF(D3&gt;300000,"3",IF(D3&gt;100000,"2",IF(D3&gt;0,"1","-")))))</f>
        <v>1</v>
      </c>
      <c r="H3" s="14" t="str">
        <f t="shared" ref="H3:H27" si="2">IF(E3=1,"5",IF(E3=2,"4",IF(E3=3,"3",IF(E3=4,"2",IF(E3=5,"1","-")))))</f>
        <v>5</v>
      </c>
      <c r="I3" s="15">
        <f t="shared" ref="I3:I27" si="3">IFERROR(F3+G3+H3, "-")</f>
        <v>7</v>
      </c>
    </row>
    <row r="4" spans="1:13" s="7" customFormat="1" ht="27" customHeight="1" x14ac:dyDescent="0.35">
      <c r="A4" s="58" t="s">
        <v>11</v>
      </c>
      <c r="B4" s="132">
        <v>0</v>
      </c>
      <c r="C4" s="105">
        <v>0</v>
      </c>
      <c r="D4" s="77">
        <v>1</v>
      </c>
      <c r="E4" s="74">
        <v>1</v>
      </c>
      <c r="F4" s="14" t="str">
        <f t="shared" si="0"/>
        <v>1</v>
      </c>
      <c r="G4" s="14" t="str">
        <f t="shared" si="1"/>
        <v>1</v>
      </c>
      <c r="H4" s="14" t="str">
        <f t="shared" si="2"/>
        <v>5</v>
      </c>
      <c r="I4" s="15">
        <f t="shared" si="3"/>
        <v>7</v>
      </c>
      <c r="J4" s="29"/>
    </row>
    <row r="5" spans="1:13" s="7" customFormat="1" ht="27" customHeight="1" x14ac:dyDescent="0.3">
      <c r="A5" s="48" t="s">
        <v>45</v>
      </c>
      <c r="B5" s="132">
        <v>0</v>
      </c>
      <c r="C5" s="105">
        <v>0</v>
      </c>
      <c r="D5" s="77">
        <v>1</v>
      </c>
      <c r="E5" s="74">
        <v>1</v>
      </c>
      <c r="F5" s="14" t="str">
        <f t="shared" si="0"/>
        <v>1</v>
      </c>
      <c r="G5" s="14" t="str">
        <f t="shared" si="1"/>
        <v>1</v>
      </c>
      <c r="H5" s="14" t="str">
        <f t="shared" si="2"/>
        <v>5</v>
      </c>
      <c r="I5" s="15">
        <f t="shared" si="3"/>
        <v>7</v>
      </c>
    </row>
    <row r="6" spans="1:13" s="7" customFormat="1" ht="27" customHeight="1" x14ac:dyDescent="0.3">
      <c r="A6" s="48" t="s">
        <v>64</v>
      </c>
      <c r="B6" s="132">
        <v>0</v>
      </c>
      <c r="C6" s="105">
        <v>0</v>
      </c>
      <c r="D6" s="77">
        <v>1</v>
      </c>
      <c r="E6" s="74">
        <v>1</v>
      </c>
      <c r="F6" s="14" t="str">
        <f t="shared" si="0"/>
        <v>1</v>
      </c>
      <c r="G6" s="14" t="str">
        <f t="shared" si="1"/>
        <v>1</v>
      </c>
      <c r="H6" s="14" t="str">
        <f t="shared" si="2"/>
        <v>5</v>
      </c>
      <c r="I6" s="15">
        <f t="shared" si="3"/>
        <v>7</v>
      </c>
    </row>
    <row r="7" spans="1:13" s="7" customFormat="1" ht="27" customHeight="1" x14ac:dyDescent="0.35">
      <c r="A7" s="58" t="s">
        <v>4</v>
      </c>
      <c r="B7" s="132">
        <v>0</v>
      </c>
      <c r="C7" s="105">
        <v>0</v>
      </c>
      <c r="D7" s="77">
        <v>1</v>
      </c>
      <c r="E7" s="74">
        <v>1</v>
      </c>
      <c r="F7" s="14" t="str">
        <f t="shared" si="0"/>
        <v>1</v>
      </c>
      <c r="G7" s="14" t="str">
        <f t="shared" si="1"/>
        <v>1</v>
      </c>
      <c r="H7" s="14" t="str">
        <f t="shared" si="2"/>
        <v>5</v>
      </c>
      <c r="I7" s="15">
        <f t="shared" si="3"/>
        <v>7</v>
      </c>
    </row>
    <row r="8" spans="1:13" s="7" customFormat="1" ht="27" customHeight="1" x14ac:dyDescent="0.35">
      <c r="A8" s="133" t="s">
        <v>24</v>
      </c>
      <c r="B8" s="132">
        <v>0</v>
      </c>
      <c r="C8" s="105">
        <v>0</v>
      </c>
      <c r="D8" s="77">
        <v>1</v>
      </c>
      <c r="E8" s="74">
        <v>1</v>
      </c>
      <c r="F8" s="14" t="str">
        <f t="shared" si="0"/>
        <v>1</v>
      </c>
      <c r="G8" s="14" t="str">
        <f t="shared" si="1"/>
        <v>1</v>
      </c>
      <c r="H8" s="14" t="str">
        <f t="shared" si="2"/>
        <v>5</v>
      </c>
      <c r="I8" s="15">
        <f t="shared" si="3"/>
        <v>7</v>
      </c>
      <c r="M8" s="8"/>
    </row>
    <row r="9" spans="1:13" s="7" customFormat="1" ht="27" customHeight="1" x14ac:dyDescent="0.3">
      <c r="A9" s="48" t="s">
        <v>66</v>
      </c>
      <c r="B9" s="132">
        <v>0</v>
      </c>
      <c r="C9" s="105">
        <v>0</v>
      </c>
      <c r="D9" s="77">
        <v>1</v>
      </c>
      <c r="E9" s="74">
        <v>1</v>
      </c>
      <c r="F9" s="14" t="str">
        <f t="shared" si="0"/>
        <v>1</v>
      </c>
      <c r="G9" s="14" t="str">
        <f>IF(D9&gt;300000,"5",IF(D9&gt;100000,"4",IF(D9&gt;60000,"3",IF(D9&gt;20000,"2",IF(D9&gt;0,"1","-")))))</f>
        <v>1</v>
      </c>
      <c r="H9" s="14" t="str">
        <f t="shared" si="2"/>
        <v>5</v>
      </c>
      <c r="I9" s="15">
        <f t="shared" si="3"/>
        <v>7</v>
      </c>
    </row>
    <row r="10" spans="1:13" s="7" customFormat="1" ht="27" customHeight="1" x14ac:dyDescent="0.35">
      <c r="A10" s="58" t="s">
        <v>18</v>
      </c>
      <c r="B10" s="132">
        <v>0</v>
      </c>
      <c r="C10" s="105">
        <v>0</v>
      </c>
      <c r="D10" s="77">
        <v>1</v>
      </c>
      <c r="E10" s="74">
        <v>1</v>
      </c>
      <c r="F10" s="14" t="str">
        <f t="shared" si="0"/>
        <v>1</v>
      </c>
      <c r="G10" s="14" t="str">
        <f>IF(D10&gt;300000,"5",IF(D10&gt;100000,"4",IF(D10&gt;60000,"3",IF(D10&gt;20000,"2",IF(D10&gt;0,"1","-")))))</f>
        <v>1</v>
      </c>
      <c r="H10" s="14" t="str">
        <f t="shared" si="2"/>
        <v>5</v>
      </c>
      <c r="I10" s="15">
        <f t="shared" si="3"/>
        <v>7</v>
      </c>
    </row>
    <row r="11" spans="1:13" s="7" customFormat="1" ht="27" customHeight="1" x14ac:dyDescent="0.35">
      <c r="A11" s="58" t="s">
        <v>17</v>
      </c>
      <c r="B11" s="132">
        <v>0</v>
      </c>
      <c r="C11" s="105">
        <v>0</v>
      </c>
      <c r="D11" s="77">
        <v>1</v>
      </c>
      <c r="E11" s="74">
        <v>1</v>
      </c>
      <c r="F11" s="14" t="str">
        <f t="shared" si="0"/>
        <v>1</v>
      </c>
      <c r="G11" s="14" t="str">
        <f>IF(D11&gt;300000,"5",IF(D11&gt;100000,"4",IF(D11&gt;60000,"3",IF(D11&gt;20000,"2",IF(D11&gt;0,"1","-")))))</f>
        <v>1</v>
      </c>
      <c r="H11" s="14" t="str">
        <f t="shared" si="2"/>
        <v>5</v>
      </c>
      <c r="I11" s="15">
        <f t="shared" si="3"/>
        <v>7</v>
      </c>
    </row>
    <row r="12" spans="1:13" s="7" customFormat="1" ht="27" customHeight="1" x14ac:dyDescent="0.35">
      <c r="A12" s="57" t="s">
        <v>65</v>
      </c>
      <c r="B12" s="132">
        <v>0</v>
      </c>
      <c r="C12" s="105">
        <v>0</v>
      </c>
      <c r="D12" s="77">
        <v>1</v>
      </c>
      <c r="E12" s="74">
        <v>1</v>
      </c>
      <c r="F12" s="14" t="str">
        <f t="shared" si="0"/>
        <v>1</v>
      </c>
      <c r="G12" s="14" t="str">
        <f>IF(D12&gt;1000000,"5",IF(D12&gt;500000,"4",IF(D12&gt;300000,"3",IF(D12&gt;100000,"2",IF(D12&gt;0,"1","-")))))</f>
        <v>1</v>
      </c>
      <c r="H12" s="14" t="str">
        <f t="shared" si="2"/>
        <v>5</v>
      </c>
      <c r="I12" s="15">
        <f t="shared" si="3"/>
        <v>7</v>
      </c>
    </row>
    <row r="13" spans="1:13" s="7" customFormat="1" ht="35.25" customHeight="1" x14ac:dyDescent="0.35">
      <c r="A13" s="59" t="s">
        <v>36</v>
      </c>
      <c r="B13" s="132">
        <v>0</v>
      </c>
      <c r="C13" s="105">
        <v>0</v>
      </c>
      <c r="D13" s="77">
        <v>1</v>
      </c>
      <c r="E13" s="74">
        <v>1</v>
      </c>
      <c r="F13" s="14" t="str">
        <f t="shared" si="0"/>
        <v>1</v>
      </c>
      <c r="G13" s="14" t="str">
        <f>IF(D13&gt;1000000,"5",IF(D13&gt;500000,"4",IF(D13&gt;300000,"3",IF(D13&gt;100000,"2",IF(D13&gt;0,"1","-")))))</f>
        <v>1</v>
      </c>
      <c r="H13" s="14" t="str">
        <f t="shared" si="2"/>
        <v>5</v>
      </c>
      <c r="I13" s="15">
        <f t="shared" si="3"/>
        <v>7</v>
      </c>
    </row>
    <row r="14" spans="1:13" s="7" customFormat="1" ht="27" customHeight="1" x14ac:dyDescent="0.35">
      <c r="A14" s="58" t="s">
        <v>44</v>
      </c>
      <c r="B14" s="132">
        <v>0</v>
      </c>
      <c r="C14" s="105">
        <v>0</v>
      </c>
      <c r="D14" s="77">
        <v>1</v>
      </c>
      <c r="E14" s="74">
        <v>1</v>
      </c>
      <c r="F14" s="14" t="str">
        <f t="shared" si="0"/>
        <v>1</v>
      </c>
      <c r="G14" s="14" t="str">
        <f>IF(D14&gt;1000000,"5",IF(D14&gt;500000,"4",IF(D14&gt;300000,"3",IF(D14&gt;100000,"2",IF(D14&gt;0,"1","-")))))</f>
        <v>1</v>
      </c>
      <c r="H14" s="14" t="str">
        <f t="shared" si="2"/>
        <v>5</v>
      </c>
      <c r="I14" s="15">
        <f t="shared" si="3"/>
        <v>7</v>
      </c>
    </row>
    <row r="15" spans="1:13" s="7" customFormat="1" ht="22.5" customHeight="1" x14ac:dyDescent="0.35">
      <c r="A15" s="58" t="s">
        <v>14</v>
      </c>
      <c r="B15" s="132">
        <v>0</v>
      </c>
      <c r="C15" s="105">
        <v>0</v>
      </c>
      <c r="D15" s="77">
        <v>1</v>
      </c>
      <c r="E15" s="74">
        <v>1</v>
      </c>
      <c r="F15" s="14" t="str">
        <f t="shared" si="0"/>
        <v>1</v>
      </c>
      <c r="G15" s="14" t="str">
        <f>IF(D15&gt;300000,"5",IF(D15&gt;100000,"4",IF(D15&gt;60000,"3",IF(D15&gt;20000,"2",IF(D15&gt;0,"1","-")))))</f>
        <v>1</v>
      </c>
      <c r="H15" s="14" t="str">
        <f t="shared" si="2"/>
        <v>5</v>
      </c>
      <c r="I15" s="15">
        <f t="shared" si="3"/>
        <v>7</v>
      </c>
    </row>
    <row r="16" spans="1:13" s="7" customFormat="1" ht="27" customHeight="1" x14ac:dyDescent="0.35">
      <c r="A16" s="58" t="s">
        <v>15</v>
      </c>
      <c r="B16" s="132">
        <v>0</v>
      </c>
      <c r="C16" s="105">
        <v>0</v>
      </c>
      <c r="D16" s="77">
        <v>1</v>
      </c>
      <c r="E16" s="74">
        <v>1</v>
      </c>
      <c r="F16" s="14" t="str">
        <f t="shared" si="0"/>
        <v>1</v>
      </c>
      <c r="G16" s="14" t="str">
        <f>IF(D16&gt;300000,"5",IF(D16&gt;100000,"4",IF(D16&gt;60000,"3",IF(D16&gt;20000,"2",IF(D16&gt;0,"1","-")))))</f>
        <v>1</v>
      </c>
      <c r="H16" s="14" t="str">
        <f t="shared" si="2"/>
        <v>5</v>
      </c>
      <c r="I16" s="15">
        <f t="shared" si="3"/>
        <v>7</v>
      </c>
    </row>
    <row r="17" spans="1:11" ht="20" x14ac:dyDescent="0.3">
      <c r="A17" s="134" t="s">
        <v>12</v>
      </c>
      <c r="B17" s="132">
        <v>0</v>
      </c>
      <c r="C17" s="105">
        <v>0</v>
      </c>
      <c r="D17" s="77">
        <v>1</v>
      </c>
      <c r="E17" s="74">
        <v>1</v>
      </c>
      <c r="F17" s="14" t="str">
        <f t="shared" si="0"/>
        <v>1</v>
      </c>
      <c r="G17" s="14" t="str">
        <f>IF(D17&gt;1000000,"5",IF(D17&gt;500000,"4",IF(D17&gt;300000,"3",IF(D17&gt;100000,"2",IF(D17&gt;0,"1","-")))))</f>
        <v>1</v>
      </c>
      <c r="H17" s="14" t="str">
        <f t="shared" si="2"/>
        <v>5</v>
      </c>
      <c r="I17" s="15">
        <f t="shared" si="3"/>
        <v>7</v>
      </c>
    </row>
    <row r="18" spans="1:11" s="7" customFormat="1" ht="27" customHeight="1" x14ac:dyDescent="0.35">
      <c r="A18" s="135" t="s">
        <v>5</v>
      </c>
      <c r="B18" s="132">
        <v>0</v>
      </c>
      <c r="C18" s="105">
        <v>0</v>
      </c>
      <c r="D18" s="77">
        <v>1</v>
      </c>
      <c r="E18" s="74">
        <v>1</v>
      </c>
      <c r="F18" s="14" t="str">
        <f t="shared" si="0"/>
        <v>1</v>
      </c>
      <c r="G18" s="14" t="str">
        <f>IF(D18&gt;1000000,"5",IF(D18&gt;500000,"4",IF(D18&gt;300000,"3",IF(D18&gt;100000,"2",IF(D18&gt;0,"1","-")))))</f>
        <v>1</v>
      </c>
      <c r="H18" s="14" t="str">
        <f t="shared" si="2"/>
        <v>5</v>
      </c>
      <c r="I18" s="15">
        <f t="shared" si="3"/>
        <v>7</v>
      </c>
    </row>
    <row r="19" spans="1:11" ht="27" customHeight="1" x14ac:dyDescent="0.3">
      <c r="A19" s="48" t="s">
        <v>46</v>
      </c>
      <c r="B19" s="132">
        <v>0</v>
      </c>
      <c r="C19" s="105">
        <v>0</v>
      </c>
      <c r="D19" s="77">
        <v>1</v>
      </c>
      <c r="E19" s="74">
        <v>1</v>
      </c>
      <c r="F19" s="14" t="str">
        <f t="shared" si="0"/>
        <v>1</v>
      </c>
      <c r="G19" s="14" t="str">
        <f>IF(D19&gt;1000000,"5",IF(D19&gt;500000,"4",IF(D19&gt;300000,"3",IF(D19&gt;100000,"2",IF(D19&gt;0,"1","-")))))</f>
        <v>1</v>
      </c>
      <c r="H19" s="14" t="str">
        <f>IF(E19=1,"5",IF(E19=2,"4",IF(E19=3,"3",IF(E19=4,"2",IF(E19=5,"1","-")))))</f>
        <v>5</v>
      </c>
      <c r="I19" s="15">
        <f>IFERROR(F19+G19+H19, "-")</f>
        <v>7</v>
      </c>
    </row>
    <row r="20" spans="1:11" ht="27" customHeight="1" x14ac:dyDescent="0.3">
      <c r="A20" s="59" t="s">
        <v>3</v>
      </c>
      <c r="B20" s="132">
        <v>0</v>
      </c>
      <c r="C20" s="105">
        <v>0</v>
      </c>
      <c r="D20" s="77">
        <v>1</v>
      </c>
      <c r="E20" s="74">
        <v>1</v>
      </c>
      <c r="F20" s="14" t="str">
        <f t="shared" si="0"/>
        <v>1</v>
      </c>
      <c r="G20" s="14" t="str">
        <f>IF(D20&gt;1000000,"5",IF(D20&gt;500000,"4",IF(D20&gt;300000,"3",IF(D20&gt;100000,"2",IF(D20&gt;0,"1","-")))))</f>
        <v>1</v>
      </c>
      <c r="H20" s="14" t="str">
        <f t="shared" si="2"/>
        <v>5</v>
      </c>
      <c r="I20" s="15">
        <f t="shared" si="3"/>
        <v>7</v>
      </c>
    </row>
    <row r="21" spans="1:11" s="10" customFormat="1" ht="23.25" customHeight="1" x14ac:dyDescent="0.35">
      <c r="A21" s="133" t="s">
        <v>28</v>
      </c>
      <c r="B21" s="132">
        <v>0</v>
      </c>
      <c r="C21" s="105">
        <v>0</v>
      </c>
      <c r="D21" s="77">
        <v>1</v>
      </c>
      <c r="E21" s="74">
        <v>1</v>
      </c>
      <c r="F21" s="14" t="str">
        <f t="shared" si="0"/>
        <v>1</v>
      </c>
      <c r="G21" s="14" t="str">
        <f>IF(D21&gt;300000,"5",IF(D21&gt;100000,"4",IF(D21&gt;60000,"3",IF(D21&gt;20000,"2",IF(D21&gt;0,"1","-")))))</f>
        <v>1</v>
      </c>
      <c r="H21" s="14" t="str">
        <f t="shared" si="2"/>
        <v>5</v>
      </c>
      <c r="I21" s="15">
        <f t="shared" si="3"/>
        <v>7</v>
      </c>
    </row>
    <row r="22" spans="1:11" s="10" customFormat="1" ht="27" customHeight="1" x14ac:dyDescent="0.35">
      <c r="A22" s="136" t="s">
        <v>6</v>
      </c>
      <c r="B22" s="132">
        <v>0</v>
      </c>
      <c r="C22" s="105">
        <v>0</v>
      </c>
      <c r="D22" s="77">
        <v>1</v>
      </c>
      <c r="E22" s="74">
        <v>1</v>
      </c>
      <c r="F22" s="14" t="str">
        <f t="shared" si="0"/>
        <v>1</v>
      </c>
      <c r="G22" s="14" t="str">
        <f>IF(D22&gt;300000,"5",IF(D22&gt;100000,"4",IF(D22&gt;60000,"3",IF(D22&gt;20000,"2",IF(D22&gt;0,"1","-")))))</f>
        <v>1</v>
      </c>
      <c r="H22" s="14" t="str">
        <f t="shared" si="2"/>
        <v>5</v>
      </c>
      <c r="I22" s="15">
        <f t="shared" si="3"/>
        <v>7</v>
      </c>
    </row>
    <row r="23" spans="1:11" s="10" customFormat="1" ht="30" customHeight="1" x14ac:dyDescent="0.35">
      <c r="A23" s="58" t="s">
        <v>90</v>
      </c>
      <c r="B23" s="132">
        <v>0</v>
      </c>
      <c r="C23" s="105">
        <v>0</v>
      </c>
      <c r="D23" s="77">
        <v>1</v>
      </c>
      <c r="E23" s="74">
        <v>1</v>
      </c>
      <c r="F23" s="14" t="str">
        <f t="shared" si="0"/>
        <v>1</v>
      </c>
      <c r="G23" s="14" t="str">
        <f>IF(D23&gt;300000,"5",IF(D23&gt;100000,"4",IF(D23&gt;60000,"3",IF(D23&gt;20000,"2",IF(D23&gt;0,"1","-")))))</f>
        <v>1</v>
      </c>
      <c r="H23" s="14" t="str">
        <f t="shared" si="2"/>
        <v>5</v>
      </c>
      <c r="I23" s="15">
        <f t="shared" si="3"/>
        <v>7</v>
      </c>
    </row>
    <row r="24" spans="1:11" ht="42.75" customHeight="1" x14ac:dyDescent="0.3">
      <c r="A24" s="58" t="s">
        <v>13</v>
      </c>
      <c r="B24" s="132">
        <v>0</v>
      </c>
      <c r="C24" s="105">
        <v>0</v>
      </c>
      <c r="D24" s="77">
        <v>1</v>
      </c>
      <c r="E24" s="74">
        <v>1</v>
      </c>
      <c r="F24" s="14" t="str">
        <f t="shared" si="0"/>
        <v>1</v>
      </c>
      <c r="G24" s="14" t="str">
        <f>IF(D24&gt;1000000,"5",IF(D24&gt;500000,"4",IF(D24&gt;300000,"3",IF(D24&gt;100000,"2",IF(D24&gt;0,"1","-")))))</f>
        <v>1</v>
      </c>
      <c r="H24" s="14" t="str">
        <f t="shared" si="2"/>
        <v>5</v>
      </c>
      <c r="I24" s="15">
        <f t="shared" si="3"/>
        <v>7</v>
      </c>
    </row>
    <row r="25" spans="1:11" ht="30.75" customHeight="1" x14ac:dyDescent="0.3">
      <c r="A25" s="58" t="s">
        <v>7</v>
      </c>
      <c r="B25" s="132">
        <v>0</v>
      </c>
      <c r="C25" s="105">
        <v>0</v>
      </c>
      <c r="D25" s="77">
        <v>1</v>
      </c>
      <c r="E25" s="74">
        <v>1</v>
      </c>
      <c r="F25" s="14" t="str">
        <f t="shared" si="0"/>
        <v>1</v>
      </c>
      <c r="G25" s="14" t="str">
        <f>IF(D25&gt;1000000,"5",IF(D25&gt;500000,"4",IF(D25&gt;300000,"3",IF(D25&gt;100000,"2",IF(D25&gt;0,"1","-")))))</f>
        <v>1</v>
      </c>
      <c r="H25" s="14" t="str">
        <f t="shared" si="2"/>
        <v>5</v>
      </c>
      <c r="I25" s="15">
        <f t="shared" si="3"/>
        <v>7</v>
      </c>
      <c r="K25" s="52"/>
    </row>
    <row r="26" spans="1:11" ht="30.75" customHeight="1" x14ac:dyDescent="0.3">
      <c r="A26" s="57" t="s">
        <v>21</v>
      </c>
      <c r="B26" s="132">
        <v>0</v>
      </c>
      <c r="C26" s="105">
        <v>0</v>
      </c>
      <c r="D26" s="77">
        <v>1</v>
      </c>
      <c r="E26" s="74">
        <v>1</v>
      </c>
      <c r="F26" s="14" t="str">
        <f t="shared" si="0"/>
        <v>1</v>
      </c>
      <c r="G26" s="14" t="str">
        <f>IF(D26&gt;300000,"5",IF(D26&gt;100000,"4",IF(D26&gt;60000,"3",IF(D26&gt;20000,"2",IF(D26&gt;0,"1","-")))))</f>
        <v>1</v>
      </c>
      <c r="H26" s="14" t="str">
        <f t="shared" si="2"/>
        <v>5</v>
      </c>
      <c r="I26" s="15">
        <f t="shared" si="3"/>
        <v>7</v>
      </c>
      <c r="K26" s="52"/>
    </row>
    <row r="27" spans="1:11" ht="30.75" customHeight="1" x14ac:dyDescent="0.3">
      <c r="A27" s="57" t="s">
        <v>20</v>
      </c>
      <c r="B27" s="132">
        <v>0</v>
      </c>
      <c r="C27" s="105">
        <v>0</v>
      </c>
      <c r="D27" s="77">
        <v>1</v>
      </c>
      <c r="E27" s="74">
        <v>1</v>
      </c>
      <c r="F27" s="14" t="str">
        <f t="shared" si="0"/>
        <v>1</v>
      </c>
      <c r="G27" s="14" t="str">
        <f>IF(D27&gt;300000,"5",IF(D27&gt;100000,"4",IF(D27&gt;60000,"3",IF(D27&gt;20000,"2",IF(D27&gt;0,"1","-")))))</f>
        <v>1</v>
      </c>
      <c r="H27" s="14" t="str">
        <f t="shared" si="2"/>
        <v>5</v>
      </c>
      <c r="I27" s="15">
        <f t="shared" si="3"/>
        <v>7</v>
      </c>
      <c r="K27" s="52"/>
    </row>
    <row r="29" spans="1:11" x14ac:dyDescent="0.35">
      <c r="A29" s="112"/>
    </row>
    <row r="30" spans="1:11" x14ac:dyDescent="0.35">
      <c r="A30" s="125"/>
      <c r="B30" s="124"/>
    </row>
    <row r="31" spans="1:11" x14ac:dyDescent="0.35">
      <c r="A31" s="125"/>
      <c r="B31" s="124"/>
    </row>
    <row r="32" spans="1:11" x14ac:dyDescent="0.35">
      <c r="A32" s="126"/>
      <c r="B32" s="124"/>
    </row>
    <row r="33" spans="1:2" x14ac:dyDescent="0.35">
      <c r="A33" s="126"/>
      <c r="B33" s="124"/>
    </row>
    <row r="34" spans="1:2" x14ac:dyDescent="0.35">
      <c r="A34" s="126"/>
      <c r="B34" s="124"/>
    </row>
    <row r="35" spans="1:2" x14ac:dyDescent="0.35">
      <c r="A35" s="126"/>
      <c r="B35" s="124"/>
    </row>
    <row r="36" spans="1:2" x14ac:dyDescent="0.35">
      <c r="A36" s="126"/>
      <c r="B36" s="124"/>
    </row>
    <row r="37" spans="1:2" x14ac:dyDescent="0.35">
      <c r="A37" s="126"/>
      <c r="B37" s="124"/>
    </row>
    <row r="38" spans="1:2" x14ac:dyDescent="0.35">
      <c r="A38" s="126"/>
      <c r="B38" s="124"/>
    </row>
    <row r="39" spans="1:2" x14ac:dyDescent="0.35">
      <c r="A39" s="125"/>
      <c r="B39" s="124"/>
    </row>
    <row r="40" spans="1:2" x14ac:dyDescent="0.35">
      <c r="A40" s="125"/>
      <c r="B40" s="124"/>
    </row>
    <row r="41" spans="1:2" x14ac:dyDescent="0.35">
      <c r="A41" s="125"/>
      <c r="B41" s="124"/>
    </row>
    <row r="42" spans="1:2" x14ac:dyDescent="0.35">
      <c r="A42" s="125"/>
      <c r="B42" s="124"/>
    </row>
    <row r="43" spans="1:2" x14ac:dyDescent="0.35">
      <c r="A43" s="127"/>
      <c r="B43" s="124"/>
    </row>
    <row r="44" spans="1:2" x14ac:dyDescent="0.35">
      <c r="A44" s="127"/>
      <c r="B44" s="124"/>
    </row>
    <row r="45" spans="1:2" x14ac:dyDescent="0.35">
      <c r="A45" s="125"/>
      <c r="B45" s="124"/>
    </row>
    <row r="46" spans="1:2" x14ac:dyDescent="0.35">
      <c r="A46" s="125"/>
      <c r="B46" s="124"/>
    </row>
    <row r="47" spans="1:2" x14ac:dyDescent="0.35">
      <c r="A47" s="125"/>
      <c r="B47" s="124"/>
    </row>
    <row r="48" spans="1:2" x14ac:dyDescent="0.35">
      <c r="A48" s="125"/>
      <c r="B48" s="124"/>
    </row>
    <row r="49" spans="1:2" x14ac:dyDescent="0.35">
      <c r="A49" s="125"/>
      <c r="B49" s="124"/>
    </row>
    <row r="50" spans="1:2" x14ac:dyDescent="0.35">
      <c r="A50" s="125"/>
      <c r="B50" s="124"/>
    </row>
    <row r="51" spans="1:2" x14ac:dyDescent="0.35">
      <c r="A51" s="125"/>
      <c r="B51" s="124"/>
    </row>
    <row r="52" spans="1:2" x14ac:dyDescent="0.35">
      <c r="A52" s="125"/>
      <c r="B52" s="124"/>
    </row>
    <row r="53" spans="1:2" x14ac:dyDescent="0.35">
      <c r="A53" s="125"/>
      <c r="B53" s="124"/>
    </row>
    <row r="54" spans="1:2" x14ac:dyDescent="0.35">
      <c r="A54" s="125"/>
      <c r="B54" s="124"/>
    </row>
    <row r="55" spans="1:2" x14ac:dyDescent="0.35">
      <c r="A55" s="125"/>
      <c r="B55" s="124"/>
    </row>
    <row r="56" spans="1:2" x14ac:dyDescent="0.35">
      <c r="A56" s="125"/>
      <c r="B56" s="124"/>
    </row>
    <row r="57" spans="1:2" x14ac:dyDescent="0.35">
      <c r="A57" s="125"/>
      <c r="B57" s="124"/>
    </row>
    <row r="58" spans="1:2" x14ac:dyDescent="0.35">
      <c r="A58" s="125"/>
      <c r="B58" s="124"/>
    </row>
    <row r="59" spans="1:2" x14ac:dyDescent="0.35">
      <c r="A59" s="125"/>
      <c r="B59" s="124"/>
    </row>
    <row r="60" spans="1:2" x14ac:dyDescent="0.35">
      <c r="A60" s="125"/>
      <c r="B60" s="124"/>
    </row>
    <row r="61" spans="1:2" x14ac:dyDescent="0.35">
      <c r="A61" s="125"/>
      <c r="B61" s="124"/>
    </row>
    <row r="62" spans="1:2" x14ac:dyDescent="0.35">
      <c r="A62" s="125"/>
      <c r="B62" s="124"/>
    </row>
    <row r="63" spans="1:2" x14ac:dyDescent="0.35">
      <c r="A63" s="125"/>
      <c r="B63" s="124"/>
    </row>
    <row r="64" spans="1:2" x14ac:dyDescent="0.35">
      <c r="A64" s="125"/>
      <c r="B64" s="124"/>
    </row>
    <row r="65" spans="1:2" x14ac:dyDescent="0.35">
      <c r="A65" s="125"/>
      <c r="B65" s="124"/>
    </row>
    <row r="66" spans="1:2" x14ac:dyDescent="0.35">
      <c r="A66" s="125"/>
      <c r="B66" s="124"/>
    </row>
    <row r="67" spans="1:2" x14ac:dyDescent="0.35">
      <c r="A67" s="125"/>
      <c r="B67" s="124"/>
    </row>
    <row r="68" spans="1:2" x14ac:dyDescent="0.35">
      <c r="A68" s="125"/>
      <c r="B68" s="124"/>
    </row>
    <row r="69" spans="1:2" x14ac:dyDescent="0.35">
      <c r="A69" s="125"/>
      <c r="B69" s="124"/>
    </row>
    <row r="70" spans="1:2" x14ac:dyDescent="0.35">
      <c r="A70" s="125"/>
      <c r="B70" s="124"/>
    </row>
    <row r="71" spans="1:2" x14ac:dyDescent="0.35">
      <c r="A71" s="125"/>
      <c r="B71" s="124"/>
    </row>
    <row r="72" spans="1:2" x14ac:dyDescent="0.35">
      <c r="A72" s="117"/>
      <c r="B72" s="124"/>
    </row>
    <row r="73" spans="1:2" x14ac:dyDescent="0.35">
      <c r="A73" s="117"/>
      <c r="B73" s="124"/>
    </row>
    <row r="74" spans="1:2" x14ac:dyDescent="0.35">
      <c r="A74" s="118"/>
      <c r="B74" s="124"/>
    </row>
    <row r="75" spans="1:2" x14ac:dyDescent="0.35">
      <c r="A75" s="125"/>
      <c r="B75" s="124"/>
    </row>
    <row r="76" spans="1:2" x14ac:dyDescent="0.35">
      <c r="A76" s="125"/>
      <c r="B76" s="124"/>
    </row>
    <row r="77" spans="1:2" x14ac:dyDescent="0.35">
      <c r="A77" s="125"/>
      <c r="B77" s="124"/>
    </row>
    <row r="78" spans="1:2" x14ac:dyDescent="0.35">
      <c r="A78" s="125"/>
      <c r="B78" s="124"/>
    </row>
    <row r="79" spans="1:2" x14ac:dyDescent="0.35">
      <c r="A79" s="125"/>
      <c r="B79" s="124"/>
    </row>
    <row r="80" spans="1:2" x14ac:dyDescent="0.35">
      <c r="A80" s="125"/>
      <c r="B80" s="124"/>
    </row>
    <row r="81" spans="1:2" x14ac:dyDescent="0.35">
      <c r="A81" s="125"/>
      <c r="B81" s="124"/>
    </row>
    <row r="82" spans="1:2" x14ac:dyDescent="0.35">
      <c r="A82" s="125"/>
      <c r="B82" s="124"/>
    </row>
    <row r="83" spans="1:2" x14ac:dyDescent="0.35">
      <c r="A83" s="125"/>
      <c r="B83" s="124"/>
    </row>
    <row r="84" spans="1:2" x14ac:dyDescent="0.35">
      <c r="A84" s="125"/>
      <c r="B84" s="124"/>
    </row>
    <row r="85" spans="1:2" x14ac:dyDescent="0.35">
      <c r="A85" s="125"/>
      <c r="B85" s="124"/>
    </row>
    <row r="86" spans="1:2" x14ac:dyDescent="0.35">
      <c r="A86" s="125"/>
      <c r="B86" s="124"/>
    </row>
    <row r="87" spans="1:2" x14ac:dyDescent="0.35">
      <c r="A87" s="125"/>
      <c r="B87" s="124"/>
    </row>
    <row r="88" spans="1:2" x14ac:dyDescent="0.35">
      <c r="A88" s="125"/>
      <c r="B88" s="124"/>
    </row>
    <row r="89" spans="1:2" x14ac:dyDescent="0.35">
      <c r="A89" s="125"/>
      <c r="B89" s="124"/>
    </row>
    <row r="90" spans="1:2" x14ac:dyDescent="0.35">
      <c r="A90" s="125"/>
      <c r="B90" s="124"/>
    </row>
    <row r="91" spans="1:2" x14ac:dyDescent="0.35">
      <c r="A91" s="125"/>
      <c r="B91" s="124"/>
    </row>
    <row r="92" spans="1:2" x14ac:dyDescent="0.35">
      <c r="A92" s="125"/>
      <c r="B92" s="124"/>
    </row>
    <row r="93" spans="1:2" x14ac:dyDescent="0.35">
      <c r="A93" s="125"/>
      <c r="B93" s="124"/>
    </row>
    <row r="94" spans="1:2" x14ac:dyDescent="0.35">
      <c r="A94" s="125"/>
      <c r="B94" s="124"/>
    </row>
    <row r="95" spans="1:2" x14ac:dyDescent="0.35">
      <c r="A95" s="125"/>
      <c r="B95" s="124"/>
    </row>
    <row r="96" spans="1:2" x14ac:dyDescent="0.35">
      <c r="A96" s="125"/>
      <c r="B96" s="124"/>
    </row>
    <row r="97" spans="1:2" x14ac:dyDescent="0.35">
      <c r="A97" s="125"/>
      <c r="B97" s="124"/>
    </row>
    <row r="98" spans="1:2" x14ac:dyDescent="0.35">
      <c r="A98" s="125"/>
      <c r="B98" s="124"/>
    </row>
    <row r="99" spans="1:2" x14ac:dyDescent="0.35">
      <c r="A99" s="125"/>
      <c r="B99" s="124"/>
    </row>
    <row r="100" spans="1:2" x14ac:dyDescent="0.35">
      <c r="A100" s="125"/>
      <c r="B100" s="124"/>
    </row>
    <row r="101" spans="1:2" x14ac:dyDescent="0.35">
      <c r="A101" s="125"/>
      <c r="B101" s="124"/>
    </row>
    <row r="102" spans="1:2" x14ac:dyDescent="0.35">
      <c r="A102" s="125"/>
      <c r="B102" s="124"/>
    </row>
    <row r="103" spans="1:2" x14ac:dyDescent="0.35">
      <c r="A103" s="125"/>
      <c r="B103" s="124"/>
    </row>
    <row r="104" spans="1:2" x14ac:dyDescent="0.35">
      <c r="A104" s="125"/>
      <c r="B104" s="124"/>
    </row>
    <row r="105" spans="1:2" x14ac:dyDescent="0.35">
      <c r="A105" s="125"/>
      <c r="B105" s="124"/>
    </row>
    <row r="106" spans="1:2" x14ac:dyDescent="0.35">
      <c r="A106" s="125"/>
      <c r="B106" s="124"/>
    </row>
    <row r="107" spans="1:2" x14ac:dyDescent="0.35">
      <c r="A107" s="125"/>
      <c r="B107" s="124"/>
    </row>
    <row r="108" spans="1:2" x14ac:dyDescent="0.35">
      <c r="A108" s="125"/>
      <c r="B108" s="124"/>
    </row>
    <row r="109" spans="1:2" x14ac:dyDescent="0.35">
      <c r="A109" s="125"/>
      <c r="B109" s="124"/>
    </row>
    <row r="110" spans="1:2" x14ac:dyDescent="0.35">
      <c r="A110" s="125"/>
      <c r="B110" s="124"/>
    </row>
    <row r="111" spans="1:2" x14ac:dyDescent="0.35">
      <c r="A111" s="125"/>
      <c r="B111" s="124"/>
    </row>
    <row r="112" spans="1:2" x14ac:dyDescent="0.35">
      <c r="A112" s="125"/>
      <c r="B112" s="124"/>
    </row>
    <row r="113" spans="1:2" x14ac:dyDescent="0.35">
      <c r="A113" s="125"/>
      <c r="B113" s="124"/>
    </row>
    <row r="114" spans="1:2" x14ac:dyDescent="0.35">
      <c r="A114" s="125"/>
      <c r="B114" s="124"/>
    </row>
    <row r="115" spans="1:2" x14ac:dyDescent="0.35">
      <c r="A115" s="125"/>
      <c r="B115" s="124"/>
    </row>
  </sheetData>
  <autoFilter ref="A2:I22" xr:uid="{8060A239-2CFA-4A04-BD22-E8DE9BCA6DE3}">
    <sortState xmlns:xlrd2="http://schemas.microsoft.com/office/spreadsheetml/2017/richdata2" ref="A3:I27">
      <sortCondition descending="1" ref="I2:I22"/>
    </sortState>
  </autoFilter>
  <mergeCells count="2">
    <mergeCell ref="F1:I1"/>
    <mergeCell ref="B1:C1"/>
  </mergeCells>
  <phoneticPr fontId="12" type="noConversion"/>
  <printOptions horizontalCentered="1"/>
  <pageMargins left="0.45" right="0.45" top="0.5" bottom="0.5" header="0.3" footer="0.3"/>
  <pageSetup scale="75" fitToHeight="0" orientation="landscape" r:id="rId1"/>
  <headerFooter>
    <oddFooter>&amp;Z&amp;F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1EDB965-E56F-4B1B-A637-14177FA6A55A}">
          <x14:formula1>
            <xm:f>Rubric!$G$11:$G$15</xm:f>
          </x14:formula1>
          <xm:sqref>E3:E27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"/>
  <sheetViews>
    <sheetView tabSelected="1" zoomScaleNormal="100" workbookViewId="0">
      <selection activeCell="G10" sqref="G10:H10"/>
    </sheetView>
  </sheetViews>
  <sheetFormatPr defaultRowHeight="14.5" x14ac:dyDescent="0.35"/>
  <cols>
    <col min="1" max="1" width="6.26953125" customWidth="1"/>
    <col min="2" max="2" width="28.26953125" style="1" customWidth="1"/>
    <col min="3" max="3" width="3.7265625" customWidth="1"/>
    <col min="4" max="4" width="6.26953125" customWidth="1"/>
    <col min="5" max="5" width="32.26953125" customWidth="1"/>
    <col min="6" max="6" width="3.7265625" customWidth="1"/>
    <col min="7" max="7" width="6.26953125" customWidth="1"/>
    <col min="8" max="8" width="36.1796875" customWidth="1"/>
    <col min="9" max="9" width="34.54296875" customWidth="1"/>
    <col min="10" max="10" width="6.26953125" customWidth="1"/>
    <col min="11" max="11" width="36.1796875" customWidth="1"/>
  </cols>
  <sheetData>
    <row r="1" spans="1:11" s="16" customFormat="1" ht="26.25" customHeight="1" x14ac:dyDescent="0.35">
      <c r="A1" s="34" t="s">
        <v>8</v>
      </c>
      <c r="B1" s="17"/>
      <c r="D1" s="35"/>
      <c r="G1" s="35"/>
      <c r="J1" s="35"/>
    </row>
    <row r="2" spans="1:11" s="32" customFormat="1" ht="27" customHeight="1" x14ac:dyDescent="0.35">
      <c r="B2" s="33" t="s">
        <v>57</v>
      </c>
      <c r="E2" s="33" t="s">
        <v>57</v>
      </c>
      <c r="H2" s="33" t="s">
        <v>57</v>
      </c>
    </row>
    <row r="3" spans="1:11" s="22" customFormat="1" x14ac:dyDescent="0.35">
      <c r="A3" s="20"/>
      <c r="B3" s="21" t="s">
        <v>43</v>
      </c>
      <c r="C3" s="23"/>
      <c r="D3" s="20"/>
      <c r="E3" s="21" t="s">
        <v>10</v>
      </c>
      <c r="F3" s="23"/>
      <c r="G3" s="20"/>
      <c r="H3" s="20" t="s">
        <v>1</v>
      </c>
      <c r="I3" s="30"/>
      <c r="J3" s="30"/>
      <c r="K3" s="30"/>
    </row>
    <row r="4" spans="1:11" ht="46.5" customHeight="1" x14ac:dyDescent="0.35">
      <c r="A4" s="2">
        <v>5</v>
      </c>
      <c r="B4" s="19" t="s">
        <v>67</v>
      </c>
      <c r="C4" s="18"/>
      <c r="D4" s="2">
        <v>5</v>
      </c>
      <c r="E4" s="19" t="s">
        <v>62</v>
      </c>
      <c r="F4" s="18"/>
      <c r="G4" s="2">
        <v>5</v>
      </c>
      <c r="H4" s="19" t="s">
        <v>94</v>
      </c>
      <c r="I4" s="18"/>
      <c r="J4" s="18"/>
      <c r="K4" s="31"/>
    </row>
    <row r="5" spans="1:11" ht="29" x14ac:dyDescent="0.35">
      <c r="A5" s="2">
        <v>4</v>
      </c>
      <c r="B5" s="19" t="s">
        <v>39</v>
      </c>
      <c r="C5" s="18"/>
      <c r="D5" s="2">
        <v>4</v>
      </c>
      <c r="E5" s="19" t="s">
        <v>61</v>
      </c>
      <c r="F5" s="18"/>
      <c r="G5" s="2">
        <v>4</v>
      </c>
      <c r="H5" s="19" t="s">
        <v>95</v>
      </c>
      <c r="I5" s="18"/>
      <c r="J5" s="18"/>
      <c r="K5" s="31"/>
    </row>
    <row r="6" spans="1:11" ht="43.5" x14ac:dyDescent="0.35">
      <c r="A6" s="2">
        <v>3</v>
      </c>
      <c r="B6" s="19" t="s">
        <v>40</v>
      </c>
      <c r="C6" s="18"/>
      <c r="D6" s="2">
        <v>3</v>
      </c>
      <c r="E6" s="19" t="s">
        <v>60</v>
      </c>
      <c r="F6" s="18"/>
      <c r="G6" s="2">
        <v>3</v>
      </c>
      <c r="H6" s="19" t="s">
        <v>91</v>
      </c>
      <c r="I6" s="18"/>
      <c r="J6" s="18"/>
      <c r="K6" s="31"/>
    </row>
    <row r="7" spans="1:11" ht="29" x14ac:dyDescent="0.35">
      <c r="A7" s="2">
        <v>2</v>
      </c>
      <c r="B7" s="19" t="s">
        <v>41</v>
      </c>
      <c r="C7" s="18"/>
      <c r="D7" s="2">
        <v>2</v>
      </c>
      <c r="E7" s="19" t="s">
        <v>59</v>
      </c>
      <c r="F7" s="18"/>
      <c r="G7" s="2">
        <v>2</v>
      </c>
      <c r="H7" s="19" t="s">
        <v>92</v>
      </c>
      <c r="I7" s="18"/>
      <c r="J7" s="18"/>
      <c r="K7" s="31"/>
    </row>
    <row r="8" spans="1:11" ht="29" x14ac:dyDescent="0.35">
      <c r="A8" s="2">
        <v>1</v>
      </c>
      <c r="B8" s="19" t="s">
        <v>42</v>
      </c>
      <c r="C8" s="18"/>
      <c r="D8" s="2">
        <v>1</v>
      </c>
      <c r="E8" s="19" t="s">
        <v>58</v>
      </c>
      <c r="F8" s="18"/>
      <c r="G8" s="2">
        <v>1</v>
      </c>
      <c r="H8" s="19" t="s">
        <v>93</v>
      </c>
      <c r="I8" s="18"/>
      <c r="J8" s="18"/>
      <c r="K8" s="31"/>
    </row>
    <row r="10" spans="1:11" ht="60" customHeight="1" x14ac:dyDescent="0.35">
      <c r="G10" s="140"/>
      <c r="H10" s="140"/>
      <c r="I10" s="71"/>
    </row>
  </sheetData>
  <mergeCells count="1">
    <mergeCell ref="G10:H10"/>
  </mergeCells>
  <pageMargins left="0.2" right="0.2" top="0.5" bottom="0.5" header="0.3" footer="0.3"/>
  <pageSetup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75138-DD98-4E7F-AD52-F0447080AE4A}">
  <dimension ref="A1:AX115"/>
  <sheetViews>
    <sheetView zoomScaleNormal="100" workbookViewId="0">
      <pane ySplit="2" topLeftCell="A3" activePane="bottomLeft" state="frozen"/>
      <selection pane="bottomLeft" activeCell="M12" sqref="M12"/>
    </sheetView>
  </sheetViews>
  <sheetFormatPr defaultColWidth="9.1796875" defaultRowHeight="15.5" x14ac:dyDescent="0.35"/>
  <cols>
    <col min="1" max="1" width="35.26953125" style="4" customWidth="1"/>
    <col min="2" max="3" width="12.453125" style="36" customWidth="1"/>
    <col min="4" max="4" width="12.81640625" style="3" customWidth="1"/>
    <col min="5" max="5" width="10" style="3" customWidth="1"/>
    <col min="6" max="9" width="11" style="3" customWidth="1"/>
    <col min="10" max="11" width="11.81640625" style="3" customWidth="1"/>
    <col min="12" max="13" width="11.7265625" style="3" customWidth="1"/>
    <col min="14" max="14" width="12.54296875" style="3" customWidth="1"/>
    <col min="15" max="15" width="13" style="3" customWidth="1"/>
    <col min="16" max="19" width="14.81640625" style="3" customWidth="1"/>
    <col min="20" max="20" width="18.54296875" style="24" customWidth="1"/>
    <col min="21" max="21" width="26.54296875" style="24" customWidth="1"/>
    <col min="22" max="23" width="9.7265625" style="3" customWidth="1"/>
    <col min="24" max="25" width="11.81640625" style="3" customWidth="1"/>
    <col min="26" max="26" width="16.1796875" style="3" customWidth="1"/>
    <col min="27" max="27" width="10.1796875" style="4" customWidth="1"/>
    <col min="28" max="28" width="11.26953125" style="4" bestFit="1" customWidth="1"/>
    <col min="29" max="16384" width="9.1796875" style="4"/>
  </cols>
  <sheetData>
    <row r="1" spans="1:30" s="28" customFormat="1" ht="26.25" customHeight="1" thickBot="1" x14ac:dyDescent="0.4">
      <c r="A1" s="60"/>
      <c r="B1" s="137" t="s">
        <v>37</v>
      </c>
      <c r="C1" s="138"/>
      <c r="D1" s="139"/>
      <c r="E1" s="137" t="s">
        <v>33</v>
      </c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9"/>
      <c r="T1" s="41" t="s">
        <v>38</v>
      </c>
      <c r="U1" s="42" t="s">
        <v>1</v>
      </c>
      <c r="V1" s="137" t="s">
        <v>22</v>
      </c>
      <c r="W1" s="138"/>
      <c r="X1" s="138"/>
      <c r="Y1" s="139"/>
      <c r="AA1" s="46"/>
    </row>
    <row r="2" spans="1:30" s="6" customFormat="1" ht="61.5" customHeight="1" x14ac:dyDescent="0.4">
      <c r="A2" s="5" t="s">
        <v>0</v>
      </c>
      <c r="B2" s="9" t="s">
        <v>52</v>
      </c>
      <c r="C2" s="9" t="s">
        <v>53</v>
      </c>
      <c r="D2" s="9" t="s">
        <v>25</v>
      </c>
      <c r="E2" s="9" t="s">
        <v>54</v>
      </c>
      <c r="F2" s="9" t="s">
        <v>104</v>
      </c>
      <c r="G2" s="9" t="s">
        <v>105</v>
      </c>
      <c r="H2" s="9" t="s">
        <v>106</v>
      </c>
      <c r="I2" s="9" t="s">
        <v>201</v>
      </c>
      <c r="J2" s="9" t="s">
        <v>55</v>
      </c>
      <c r="K2" s="11" t="s">
        <v>56</v>
      </c>
      <c r="L2" s="11" t="s">
        <v>19</v>
      </c>
      <c r="M2" s="11" t="s">
        <v>103</v>
      </c>
      <c r="N2" s="11" t="s">
        <v>107</v>
      </c>
      <c r="O2" s="11" t="s">
        <v>108</v>
      </c>
      <c r="P2" s="11" t="s">
        <v>111</v>
      </c>
      <c r="Q2" s="11" t="s">
        <v>109</v>
      </c>
      <c r="R2" s="11" t="s">
        <v>110</v>
      </c>
      <c r="S2" s="11" t="s">
        <v>112</v>
      </c>
      <c r="T2" s="40" t="s">
        <v>102</v>
      </c>
      <c r="U2" s="40" t="s">
        <v>203</v>
      </c>
      <c r="V2" s="12" t="s">
        <v>31</v>
      </c>
      <c r="W2" s="12" t="s">
        <v>32</v>
      </c>
      <c r="X2" s="12" t="s">
        <v>1</v>
      </c>
      <c r="Y2" s="12" t="s">
        <v>2</v>
      </c>
      <c r="Z2" s="43" t="s">
        <v>63</v>
      </c>
      <c r="AA2" s="47"/>
      <c r="AB2" s="7"/>
    </row>
    <row r="3" spans="1:30" s="7" customFormat="1" ht="27" customHeight="1" x14ac:dyDescent="0.4">
      <c r="A3" s="48" t="s">
        <v>64</v>
      </c>
      <c r="B3" s="55" t="s">
        <v>23</v>
      </c>
      <c r="C3" s="39"/>
      <c r="D3" s="39" t="s">
        <v>23</v>
      </c>
      <c r="E3" s="39" t="s">
        <v>23</v>
      </c>
      <c r="F3" s="39" t="s">
        <v>23</v>
      </c>
      <c r="G3" s="39"/>
      <c r="H3" s="39"/>
      <c r="I3" s="39"/>
      <c r="J3" s="39" t="s">
        <v>23</v>
      </c>
      <c r="K3" s="39" t="s">
        <v>23</v>
      </c>
      <c r="L3" s="50"/>
      <c r="M3" s="50"/>
      <c r="N3" s="119">
        <v>7377347</v>
      </c>
      <c r="O3" s="119">
        <v>11927658</v>
      </c>
      <c r="P3" s="119">
        <f t="shared" ref="P3:P27" si="0">SUM(N3:O3)</f>
        <v>19305005</v>
      </c>
      <c r="Q3" s="106">
        <v>28</v>
      </c>
      <c r="R3" s="106">
        <f>4+5</f>
        <v>9</v>
      </c>
      <c r="S3" s="104">
        <f t="shared" ref="S3:S27" si="1">SUM(Q3:R3)</f>
        <v>37</v>
      </c>
      <c r="T3" s="77">
        <v>1132000</v>
      </c>
      <c r="U3" s="72">
        <v>5</v>
      </c>
      <c r="V3" s="14" t="str">
        <f>IF(S3&gt;=6,"5",IF(S3&gt;=4,"4",IF(S3&gt;=2,"3",IF(S3&gt;=1,"2",IF(S3&gt;-1,"1","-")))))</f>
        <v>5</v>
      </c>
      <c r="W3" s="14" t="str">
        <f>IF(T3&gt;1000000,"5",IF(T3&gt;500000,"4",IF(T3&gt;300000,"3",IF(T3&gt;100000,"2",IF(T3&gt;0,"1","-")))))</f>
        <v>5</v>
      </c>
      <c r="X3" s="14" t="str">
        <f>IF(U3=1,"5",IF(U3=2,"4",IF(U3=3,"3",IF(U3=4,"2",IF(U3=5,"1","-")))))</f>
        <v>1</v>
      </c>
      <c r="Y3" s="15">
        <f>IFERROR(V3+W3+X3, "-")</f>
        <v>11</v>
      </c>
      <c r="Z3" s="50"/>
    </row>
    <row r="4" spans="1:30" s="7" customFormat="1" ht="27" customHeight="1" x14ac:dyDescent="0.35">
      <c r="A4" s="56" t="s">
        <v>16</v>
      </c>
      <c r="B4" s="37" t="s">
        <v>23</v>
      </c>
      <c r="C4" s="37"/>
      <c r="D4" s="13" t="s">
        <v>23</v>
      </c>
      <c r="E4" s="13" t="s">
        <v>23</v>
      </c>
      <c r="F4" s="13"/>
      <c r="G4" s="13"/>
      <c r="H4" s="13"/>
      <c r="I4" s="13"/>
      <c r="J4" s="13"/>
      <c r="K4" s="13"/>
      <c r="L4" s="25"/>
      <c r="M4" s="25"/>
      <c r="N4" s="119">
        <v>12962225</v>
      </c>
      <c r="O4" s="119">
        <f>7789650+325500+72720+95600</f>
        <v>8283470</v>
      </c>
      <c r="P4" s="119">
        <f t="shared" si="0"/>
        <v>21245695</v>
      </c>
      <c r="Q4" s="107">
        <v>12</v>
      </c>
      <c r="R4" s="107">
        <f>2+1</f>
        <v>3</v>
      </c>
      <c r="S4" s="105">
        <f t="shared" si="1"/>
        <v>15</v>
      </c>
      <c r="T4" s="77">
        <v>696000</v>
      </c>
      <c r="U4" s="73">
        <v>3</v>
      </c>
      <c r="V4" s="14" t="str">
        <f t="shared" ref="V4:V27" si="2">IF(S4&gt;=6,"5",IF(S4&gt;=4,"4",IF(S4&gt;=2,"3",IF(S4&gt;=1,"2",IF(S4&gt;-1,"1","-")))))</f>
        <v>5</v>
      </c>
      <c r="W4" s="14" t="str">
        <f t="shared" ref="W4:W17" si="3">IF(T4&gt;1000000,"5",IF(T4&gt;500000,"4",IF(T4&gt;300000,"3",IF(T4&gt;100000,"2",IF(T4&gt;0,"1","-")))))</f>
        <v>4</v>
      </c>
      <c r="X4" s="14" t="str">
        <f t="shared" ref="X4:X27" si="4">IF(U4=1,"5",IF(U4=2,"4",IF(U4=3,"3",IF(U4=4,"2",IF(U4=5,"1","-")))))</f>
        <v>3</v>
      </c>
      <c r="Y4" s="15">
        <f t="shared" ref="Y4:Y27" si="5">IFERROR(V4+W4+X4, "-")</f>
        <v>12</v>
      </c>
      <c r="Z4" s="44"/>
      <c r="AA4" s="29"/>
    </row>
    <row r="5" spans="1:30" s="7" customFormat="1" ht="27" customHeight="1" x14ac:dyDescent="0.35">
      <c r="A5" s="57" t="s">
        <v>65</v>
      </c>
      <c r="B5" s="39" t="s">
        <v>23</v>
      </c>
      <c r="C5" s="39"/>
      <c r="D5" s="13" t="s">
        <v>23</v>
      </c>
      <c r="E5" s="15" t="s">
        <v>23</v>
      </c>
      <c r="F5" s="15"/>
      <c r="G5" s="15"/>
      <c r="H5" s="15"/>
      <c r="I5" s="15"/>
      <c r="J5" s="15" t="s">
        <v>23</v>
      </c>
      <c r="K5" s="15" t="s">
        <v>23</v>
      </c>
      <c r="L5" s="26"/>
      <c r="M5" s="26"/>
      <c r="N5" s="119">
        <v>6395368</v>
      </c>
      <c r="O5" s="119">
        <v>301294</v>
      </c>
      <c r="P5" s="119">
        <f t="shared" si="0"/>
        <v>6696662</v>
      </c>
      <c r="Q5" s="107">
        <v>17</v>
      </c>
      <c r="R5" s="107">
        <v>3</v>
      </c>
      <c r="S5" s="105">
        <f t="shared" si="1"/>
        <v>20</v>
      </c>
      <c r="T5" s="77">
        <v>324000</v>
      </c>
      <c r="U5" s="74">
        <v>5</v>
      </c>
      <c r="V5" s="14" t="str">
        <f t="shared" si="2"/>
        <v>5</v>
      </c>
      <c r="W5" s="14" t="str">
        <f t="shared" si="3"/>
        <v>3</v>
      </c>
      <c r="X5" s="14" t="str">
        <f t="shared" si="4"/>
        <v>1</v>
      </c>
      <c r="Y5" s="15">
        <f t="shared" si="5"/>
        <v>9</v>
      </c>
      <c r="Z5" s="45"/>
    </row>
    <row r="6" spans="1:30" s="7" customFormat="1" ht="27" customHeight="1" x14ac:dyDescent="0.35">
      <c r="A6" s="58" t="s">
        <v>4</v>
      </c>
      <c r="B6" s="38" t="s">
        <v>23</v>
      </c>
      <c r="C6" s="38"/>
      <c r="D6" s="13" t="s">
        <v>23</v>
      </c>
      <c r="E6" s="13" t="s">
        <v>23</v>
      </c>
      <c r="F6" s="13" t="s">
        <v>23</v>
      </c>
      <c r="G6" s="13" t="s">
        <v>23</v>
      </c>
      <c r="H6" s="13" t="s">
        <v>23</v>
      </c>
      <c r="I6" s="13"/>
      <c r="J6" s="13" t="s">
        <v>23</v>
      </c>
      <c r="K6" s="13" t="s">
        <v>23</v>
      </c>
      <c r="L6" s="25" t="s">
        <v>9</v>
      </c>
      <c r="M6" s="13" t="s">
        <v>23</v>
      </c>
      <c r="N6" s="119">
        <v>7727780</v>
      </c>
      <c r="O6" s="119">
        <v>12518747</v>
      </c>
      <c r="P6" s="119">
        <f t="shared" si="0"/>
        <v>20246527</v>
      </c>
      <c r="Q6" s="107">
        <v>29</v>
      </c>
      <c r="R6" s="107">
        <v>8</v>
      </c>
      <c r="S6" s="105">
        <f t="shared" si="1"/>
        <v>37</v>
      </c>
      <c r="T6" s="77">
        <v>781000</v>
      </c>
      <c r="U6" s="75">
        <v>4</v>
      </c>
      <c r="V6" s="14" t="str">
        <f t="shared" si="2"/>
        <v>5</v>
      </c>
      <c r="W6" s="14" t="str">
        <f t="shared" si="3"/>
        <v>4</v>
      </c>
      <c r="X6" s="14" t="str">
        <f t="shared" si="4"/>
        <v>2</v>
      </c>
      <c r="Y6" s="15">
        <f t="shared" si="5"/>
        <v>11</v>
      </c>
      <c r="Z6" s="44"/>
    </row>
    <row r="7" spans="1:30" s="7" customFormat="1" ht="27" customHeight="1" x14ac:dyDescent="0.35">
      <c r="A7" s="58" t="s">
        <v>12</v>
      </c>
      <c r="B7" s="38" t="s">
        <v>23</v>
      </c>
      <c r="C7" s="38"/>
      <c r="D7" s="13" t="s">
        <v>23</v>
      </c>
      <c r="E7" s="13"/>
      <c r="F7" s="13"/>
      <c r="G7" s="13"/>
      <c r="H7" s="13"/>
      <c r="I7" s="13"/>
      <c r="J7" s="13" t="s">
        <v>23</v>
      </c>
      <c r="K7" s="13" t="s">
        <v>23</v>
      </c>
      <c r="L7" s="25"/>
      <c r="M7" s="25"/>
      <c r="N7" s="119">
        <v>772693</v>
      </c>
      <c r="O7" s="119">
        <v>1300000</v>
      </c>
      <c r="P7" s="119">
        <f t="shared" si="0"/>
        <v>2072693</v>
      </c>
      <c r="Q7" s="107">
        <v>3</v>
      </c>
      <c r="R7" s="107">
        <v>1</v>
      </c>
      <c r="S7" s="105">
        <f t="shared" si="1"/>
        <v>4</v>
      </c>
      <c r="T7" s="77">
        <v>907000</v>
      </c>
      <c r="U7" s="74">
        <v>5</v>
      </c>
      <c r="V7" s="14" t="str">
        <f t="shared" si="2"/>
        <v>4</v>
      </c>
      <c r="W7" s="14" t="str">
        <f t="shared" si="3"/>
        <v>4</v>
      </c>
      <c r="X7" s="14" t="str">
        <f t="shared" si="4"/>
        <v>1</v>
      </c>
      <c r="Y7" s="15">
        <f t="shared" si="5"/>
        <v>9</v>
      </c>
      <c r="Z7" s="44"/>
    </row>
    <row r="8" spans="1:30" s="7" customFormat="1" ht="27" customHeight="1" x14ac:dyDescent="0.35">
      <c r="A8" s="59" t="s">
        <v>3</v>
      </c>
      <c r="B8" s="27" t="s">
        <v>23</v>
      </c>
      <c r="C8" s="27"/>
      <c r="D8" s="13" t="s">
        <v>23</v>
      </c>
      <c r="E8" s="13" t="s">
        <v>23</v>
      </c>
      <c r="F8" s="13" t="s">
        <v>23</v>
      </c>
      <c r="G8" s="13"/>
      <c r="H8" s="13"/>
      <c r="I8" s="13"/>
      <c r="J8" s="13" t="s">
        <v>23</v>
      </c>
      <c r="K8" s="13" t="s">
        <v>23</v>
      </c>
      <c r="L8" s="25"/>
      <c r="M8" s="25"/>
      <c r="N8" s="119">
        <v>8376735</v>
      </c>
      <c r="O8" s="119">
        <v>13207658</v>
      </c>
      <c r="P8" s="119">
        <f t="shared" si="0"/>
        <v>21584393</v>
      </c>
      <c r="Q8" s="107">
        <v>34</v>
      </c>
      <c r="R8" s="107">
        <v>8</v>
      </c>
      <c r="S8" s="105">
        <f t="shared" si="1"/>
        <v>42</v>
      </c>
      <c r="T8" s="77">
        <v>52500</v>
      </c>
      <c r="U8" s="74">
        <v>5</v>
      </c>
      <c r="V8" s="14" t="str">
        <f t="shared" si="2"/>
        <v>5</v>
      </c>
      <c r="W8" s="14" t="str">
        <f t="shared" si="3"/>
        <v>1</v>
      </c>
      <c r="X8" s="14" t="str">
        <f t="shared" si="4"/>
        <v>1</v>
      </c>
      <c r="Y8" s="15">
        <f t="shared" si="5"/>
        <v>7</v>
      </c>
      <c r="Z8" s="44"/>
      <c r="AD8" s="8"/>
    </row>
    <row r="9" spans="1:30" s="7" customFormat="1" ht="27" customHeight="1" x14ac:dyDescent="0.35">
      <c r="A9" s="59" t="s">
        <v>36</v>
      </c>
      <c r="B9" s="27" t="s">
        <v>23</v>
      </c>
      <c r="C9" s="27"/>
      <c r="D9" s="13" t="s">
        <v>23</v>
      </c>
      <c r="E9" s="13" t="s">
        <v>23</v>
      </c>
      <c r="F9" s="13" t="s">
        <v>23</v>
      </c>
      <c r="G9" s="13" t="s">
        <v>23</v>
      </c>
      <c r="H9" s="13" t="s">
        <v>23</v>
      </c>
      <c r="I9" s="13"/>
      <c r="J9" s="13" t="s">
        <v>23</v>
      </c>
      <c r="K9" s="13" t="s">
        <v>23</v>
      </c>
      <c r="L9" s="25" t="s">
        <v>9</v>
      </c>
      <c r="M9" s="25"/>
      <c r="N9" s="119">
        <v>9901639</v>
      </c>
      <c r="O9" s="119">
        <f>9881944+4257142</f>
        <v>14139086</v>
      </c>
      <c r="P9" s="119">
        <f t="shared" si="0"/>
        <v>24040725</v>
      </c>
      <c r="Q9" s="107">
        <v>30</v>
      </c>
      <c r="R9" s="107">
        <f>3+6</f>
        <v>9</v>
      </c>
      <c r="S9" s="105">
        <f t="shared" si="1"/>
        <v>39</v>
      </c>
      <c r="T9" s="77">
        <v>280000</v>
      </c>
      <c r="U9" s="74">
        <v>4</v>
      </c>
      <c r="V9" s="14" t="str">
        <f t="shared" si="2"/>
        <v>5</v>
      </c>
      <c r="W9" s="14" t="str">
        <f t="shared" si="3"/>
        <v>2</v>
      </c>
      <c r="X9" s="14" t="str">
        <f t="shared" si="4"/>
        <v>2</v>
      </c>
      <c r="Y9" s="15">
        <f t="shared" si="5"/>
        <v>9</v>
      </c>
      <c r="Z9" s="44"/>
    </row>
    <row r="10" spans="1:30" s="7" customFormat="1" ht="27" customHeight="1" x14ac:dyDescent="0.35">
      <c r="A10" s="58" t="s">
        <v>11</v>
      </c>
      <c r="B10" s="38" t="s">
        <v>23</v>
      </c>
      <c r="C10" s="38"/>
      <c r="D10" s="13" t="s">
        <v>23</v>
      </c>
      <c r="E10" s="13"/>
      <c r="F10" s="13" t="s">
        <v>23</v>
      </c>
      <c r="G10" s="13" t="s">
        <v>23</v>
      </c>
      <c r="H10" s="13" t="s">
        <v>23</v>
      </c>
      <c r="I10" s="13"/>
      <c r="J10" s="13" t="s">
        <v>23</v>
      </c>
      <c r="K10" s="13"/>
      <c r="L10" s="25" t="s">
        <v>9</v>
      </c>
      <c r="M10" s="25"/>
      <c r="N10" s="119">
        <v>5553605</v>
      </c>
      <c r="O10" s="119">
        <v>0</v>
      </c>
      <c r="P10" s="119">
        <f t="shared" si="0"/>
        <v>5553605</v>
      </c>
      <c r="Q10" s="107">
        <v>4</v>
      </c>
      <c r="R10" s="107">
        <v>0</v>
      </c>
      <c r="S10" s="105">
        <f t="shared" si="1"/>
        <v>4</v>
      </c>
      <c r="T10" s="77">
        <v>1713000</v>
      </c>
      <c r="U10" s="74">
        <v>4</v>
      </c>
      <c r="V10" s="14" t="str">
        <f t="shared" si="2"/>
        <v>4</v>
      </c>
      <c r="W10" s="14" t="str">
        <f t="shared" si="3"/>
        <v>5</v>
      </c>
      <c r="X10" s="14" t="str">
        <f t="shared" si="4"/>
        <v>2</v>
      </c>
      <c r="Y10" s="15">
        <f t="shared" si="5"/>
        <v>11</v>
      </c>
      <c r="Z10" s="44"/>
    </row>
    <row r="11" spans="1:30" s="7" customFormat="1" ht="27" customHeight="1" x14ac:dyDescent="0.35">
      <c r="A11" s="58" t="s">
        <v>13</v>
      </c>
      <c r="B11" s="38" t="s">
        <v>23</v>
      </c>
      <c r="C11" s="38"/>
      <c r="D11" s="13" t="s">
        <v>23</v>
      </c>
      <c r="E11" s="13" t="s">
        <v>23</v>
      </c>
      <c r="F11" s="13"/>
      <c r="G11" s="13"/>
      <c r="H11" s="13"/>
      <c r="I11" s="13"/>
      <c r="J11" s="13"/>
      <c r="K11" s="13"/>
      <c r="L11" s="25" t="s">
        <v>9</v>
      </c>
      <c r="M11" s="25"/>
      <c r="N11" s="120">
        <v>1346331</v>
      </c>
      <c r="O11" s="120">
        <v>1295714</v>
      </c>
      <c r="P11" s="120">
        <f t="shared" si="0"/>
        <v>2642045</v>
      </c>
      <c r="Q11" s="108">
        <v>21</v>
      </c>
      <c r="R11" s="108">
        <v>5</v>
      </c>
      <c r="S11" s="105">
        <f t="shared" si="1"/>
        <v>26</v>
      </c>
      <c r="T11" s="77">
        <v>181000</v>
      </c>
      <c r="U11" s="74">
        <v>5</v>
      </c>
      <c r="V11" s="14" t="str">
        <f t="shared" si="2"/>
        <v>5</v>
      </c>
      <c r="W11" s="14" t="str">
        <f t="shared" si="3"/>
        <v>2</v>
      </c>
      <c r="X11" s="14" t="str">
        <f t="shared" si="4"/>
        <v>1</v>
      </c>
      <c r="Y11" s="15">
        <f t="shared" si="5"/>
        <v>8</v>
      </c>
      <c r="Z11" s="44"/>
    </row>
    <row r="12" spans="1:30" s="7" customFormat="1" ht="27" customHeight="1" x14ac:dyDescent="0.4">
      <c r="A12" s="48" t="s">
        <v>66</v>
      </c>
      <c r="B12" s="49"/>
      <c r="C12" s="55" t="s">
        <v>23</v>
      </c>
      <c r="D12" s="55" t="s">
        <v>23</v>
      </c>
      <c r="E12" s="50"/>
      <c r="F12" s="50"/>
      <c r="G12" s="50"/>
      <c r="H12" s="50"/>
      <c r="I12" s="50"/>
      <c r="J12" s="55" t="s">
        <v>23</v>
      </c>
      <c r="K12" s="55" t="s">
        <v>23</v>
      </c>
      <c r="L12" s="50"/>
      <c r="M12" s="50"/>
      <c r="N12" s="119">
        <f>3765347/3</f>
        <v>1255115.6666666667</v>
      </c>
      <c r="O12" s="119">
        <v>1944444</v>
      </c>
      <c r="P12" s="119">
        <f t="shared" si="0"/>
        <v>3199559.666666667</v>
      </c>
      <c r="Q12" s="107">
        <v>9</v>
      </c>
      <c r="R12" s="107">
        <v>1</v>
      </c>
      <c r="S12" s="109">
        <f t="shared" si="1"/>
        <v>10</v>
      </c>
      <c r="T12" s="77">
        <v>728000</v>
      </c>
      <c r="U12" s="76">
        <v>5</v>
      </c>
      <c r="V12" s="14" t="str">
        <f t="shared" si="2"/>
        <v>5</v>
      </c>
      <c r="W12" s="14" t="str">
        <f>IF(T12&gt;300000,"5",IF(T12&gt;100000,"4",IF(T12&gt;60000,"3",IF(T12&gt;20000,"2",IF(T12&gt;0,"1","-")))))</f>
        <v>5</v>
      </c>
      <c r="X12" s="14" t="str">
        <f t="shared" si="4"/>
        <v>1</v>
      </c>
      <c r="Y12" s="15">
        <f t="shared" si="5"/>
        <v>11</v>
      </c>
      <c r="Z12" s="50"/>
    </row>
    <row r="13" spans="1:30" s="7" customFormat="1" ht="41.25" customHeight="1" x14ac:dyDescent="0.35">
      <c r="A13" s="78" t="s">
        <v>24</v>
      </c>
      <c r="B13" s="85"/>
      <c r="C13" s="85"/>
      <c r="D13" s="86" t="s">
        <v>23</v>
      </c>
      <c r="E13" s="86"/>
      <c r="F13" s="86" t="s">
        <v>23</v>
      </c>
      <c r="G13" s="86"/>
      <c r="H13" s="86"/>
      <c r="I13" s="86"/>
      <c r="J13" s="86"/>
      <c r="K13" s="86"/>
      <c r="L13" s="87"/>
      <c r="M13" s="87"/>
      <c r="N13" s="121">
        <v>5683249</v>
      </c>
      <c r="O13" s="121">
        <v>0</v>
      </c>
      <c r="P13" s="121">
        <f t="shared" si="0"/>
        <v>5683249</v>
      </c>
      <c r="Q13" s="110">
        <v>12</v>
      </c>
      <c r="R13" s="110">
        <v>0</v>
      </c>
      <c r="S13" s="103">
        <f t="shared" si="1"/>
        <v>12</v>
      </c>
      <c r="T13" s="88">
        <f>1100000+225503</f>
        <v>1325503</v>
      </c>
      <c r="U13" s="89">
        <v>5</v>
      </c>
      <c r="V13" s="90" t="str">
        <f t="shared" si="2"/>
        <v>5</v>
      </c>
      <c r="W13" s="90" t="str">
        <f t="shared" si="3"/>
        <v>5</v>
      </c>
      <c r="X13" s="90" t="str">
        <f t="shared" si="4"/>
        <v>1</v>
      </c>
      <c r="Y13" s="91">
        <f t="shared" si="5"/>
        <v>11</v>
      </c>
      <c r="Z13" s="92"/>
    </row>
    <row r="14" spans="1:30" s="7" customFormat="1" ht="27" customHeight="1" x14ac:dyDescent="0.35">
      <c r="A14" s="79" t="s">
        <v>5</v>
      </c>
      <c r="B14" s="93"/>
      <c r="C14" s="93"/>
      <c r="D14" s="86" t="s">
        <v>23</v>
      </c>
      <c r="E14" s="86" t="s">
        <v>23</v>
      </c>
      <c r="F14" s="86"/>
      <c r="G14" s="86"/>
      <c r="H14" s="86"/>
      <c r="I14" s="86"/>
      <c r="J14" s="86" t="s">
        <v>23</v>
      </c>
      <c r="K14" s="86" t="s">
        <v>23</v>
      </c>
      <c r="L14" s="87"/>
      <c r="M14" s="87"/>
      <c r="N14" s="121">
        <v>5504975</v>
      </c>
      <c r="O14" s="121">
        <v>0</v>
      </c>
      <c r="P14" s="121">
        <f t="shared" si="0"/>
        <v>5504975</v>
      </c>
      <c r="Q14" s="110">
        <v>4</v>
      </c>
      <c r="R14" s="110">
        <v>0</v>
      </c>
      <c r="S14" s="103">
        <f t="shared" si="1"/>
        <v>4</v>
      </c>
      <c r="T14" s="88">
        <f>141000+120877</f>
        <v>261877</v>
      </c>
      <c r="U14" s="89">
        <v>5</v>
      </c>
      <c r="V14" s="90" t="str">
        <f t="shared" si="2"/>
        <v>4</v>
      </c>
      <c r="W14" s="90" t="str">
        <f t="shared" si="3"/>
        <v>2</v>
      </c>
      <c r="X14" s="90" t="str">
        <f t="shared" si="4"/>
        <v>1</v>
      </c>
      <c r="Y14" s="91">
        <f t="shared" si="5"/>
        <v>7</v>
      </c>
      <c r="Z14" s="92"/>
    </row>
    <row r="15" spans="1:30" s="7" customFormat="1" ht="27" customHeight="1" x14ac:dyDescent="0.3">
      <c r="A15" s="80" t="s">
        <v>45</v>
      </c>
      <c r="B15" s="94"/>
      <c r="C15" s="94"/>
      <c r="D15" s="95"/>
      <c r="E15" s="86" t="s">
        <v>23</v>
      </c>
      <c r="F15" s="86"/>
      <c r="G15" s="86"/>
      <c r="H15" s="95"/>
      <c r="I15" s="95"/>
      <c r="J15" s="86" t="s">
        <v>23</v>
      </c>
      <c r="K15" s="86" t="s">
        <v>23</v>
      </c>
      <c r="L15" s="95"/>
      <c r="M15" s="95"/>
      <c r="N15" s="121">
        <v>2735658</v>
      </c>
      <c r="O15" s="121">
        <v>2575714</v>
      </c>
      <c r="P15" s="121">
        <f t="shared" si="0"/>
        <v>5311372</v>
      </c>
      <c r="Q15" s="110">
        <v>28</v>
      </c>
      <c r="R15" s="110">
        <v>5</v>
      </c>
      <c r="S15" s="103">
        <f t="shared" si="1"/>
        <v>33</v>
      </c>
      <c r="T15" s="88">
        <f>115000+120870</f>
        <v>235870</v>
      </c>
      <c r="U15" s="89">
        <v>1</v>
      </c>
      <c r="V15" s="90" t="str">
        <f t="shared" si="2"/>
        <v>5</v>
      </c>
      <c r="W15" s="90" t="str">
        <f t="shared" si="3"/>
        <v>2</v>
      </c>
      <c r="X15" s="90" t="str">
        <f t="shared" si="4"/>
        <v>5</v>
      </c>
      <c r="Y15" s="91">
        <f t="shared" si="5"/>
        <v>12</v>
      </c>
      <c r="Z15" s="95"/>
    </row>
    <row r="16" spans="1:30" s="7" customFormat="1" ht="27" customHeight="1" x14ac:dyDescent="0.35">
      <c r="A16" s="81" t="s">
        <v>7</v>
      </c>
      <c r="B16" s="85"/>
      <c r="C16" s="85"/>
      <c r="D16" s="86" t="s">
        <v>23</v>
      </c>
      <c r="E16" s="86"/>
      <c r="F16" s="86"/>
      <c r="G16" s="86"/>
      <c r="H16" s="86"/>
      <c r="I16" s="86"/>
      <c r="J16" s="86"/>
      <c r="K16" s="86"/>
      <c r="L16" s="87"/>
      <c r="M16" s="87"/>
      <c r="N16" s="122">
        <v>0</v>
      </c>
      <c r="O16" s="122">
        <v>0</v>
      </c>
      <c r="P16" s="121">
        <f t="shared" si="0"/>
        <v>0</v>
      </c>
      <c r="Q16" s="103">
        <v>0</v>
      </c>
      <c r="R16" s="103">
        <v>0</v>
      </c>
      <c r="S16" s="103">
        <f t="shared" si="1"/>
        <v>0</v>
      </c>
      <c r="T16" s="88">
        <f>312000+218956</f>
        <v>530956</v>
      </c>
      <c r="U16" s="89">
        <v>5</v>
      </c>
      <c r="V16" s="90" t="str">
        <f t="shared" si="2"/>
        <v>1</v>
      </c>
      <c r="W16" s="90" t="str">
        <f t="shared" si="3"/>
        <v>4</v>
      </c>
      <c r="X16" s="90" t="str">
        <f t="shared" si="4"/>
        <v>1</v>
      </c>
      <c r="Y16" s="91">
        <f t="shared" si="5"/>
        <v>6</v>
      </c>
      <c r="Z16" s="92"/>
    </row>
    <row r="17" spans="1:50" s="7" customFormat="1" ht="27" customHeight="1" x14ac:dyDescent="0.35">
      <c r="A17" s="82" t="s">
        <v>44</v>
      </c>
      <c r="B17" s="85"/>
      <c r="C17" s="85"/>
      <c r="D17" s="86" t="s">
        <v>23</v>
      </c>
      <c r="E17" s="86" t="s">
        <v>23</v>
      </c>
      <c r="F17" s="86" t="s">
        <v>23</v>
      </c>
      <c r="G17" s="86"/>
      <c r="H17" s="86"/>
      <c r="I17" s="86"/>
      <c r="J17" s="86" t="s">
        <v>23</v>
      </c>
      <c r="K17" s="86"/>
      <c r="L17" s="87" t="s">
        <v>9</v>
      </c>
      <c r="M17" s="87"/>
      <c r="N17" s="123">
        <v>1312722</v>
      </c>
      <c r="O17" s="123">
        <v>1295714</v>
      </c>
      <c r="P17" s="121">
        <f t="shared" si="0"/>
        <v>2608436</v>
      </c>
      <c r="Q17" s="111">
        <v>23</v>
      </c>
      <c r="R17" s="111">
        <v>5</v>
      </c>
      <c r="S17" s="103">
        <f t="shared" si="1"/>
        <v>28</v>
      </c>
      <c r="T17" s="88">
        <f>33000+41609</f>
        <v>74609</v>
      </c>
      <c r="U17" s="89">
        <v>1</v>
      </c>
      <c r="V17" s="90" t="str">
        <f t="shared" si="2"/>
        <v>5</v>
      </c>
      <c r="W17" s="90" t="str">
        <f t="shared" si="3"/>
        <v>1</v>
      </c>
      <c r="X17" s="90" t="str">
        <f t="shared" si="4"/>
        <v>5</v>
      </c>
      <c r="Y17" s="91">
        <f t="shared" si="5"/>
        <v>11</v>
      </c>
      <c r="Z17" s="92"/>
    </row>
    <row r="18" spans="1:50" s="7" customFormat="1" ht="27" customHeight="1" x14ac:dyDescent="0.35">
      <c r="A18" s="81" t="s">
        <v>18</v>
      </c>
      <c r="B18" s="85"/>
      <c r="C18" s="85"/>
      <c r="D18" s="86" t="s">
        <v>23</v>
      </c>
      <c r="E18" s="91"/>
      <c r="F18" s="91"/>
      <c r="G18" s="91"/>
      <c r="H18" s="91"/>
      <c r="I18" s="91"/>
      <c r="J18" s="91" t="s">
        <v>23</v>
      </c>
      <c r="K18" s="91" t="s">
        <v>23</v>
      </c>
      <c r="L18" s="96"/>
      <c r="M18" s="96"/>
      <c r="N18" s="121">
        <v>1255116</v>
      </c>
      <c r="O18" s="121">
        <v>0</v>
      </c>
      <c r="P18" s="121">
        <f t="shared" si="0"/>
        <v>1255116</v>
      </c>
      <c r="Q18" s="110">
        <v>7</v>
      </c>
      <c r="R18" s="110">
        <v>0</v>
      </c>
      <c r="S18" s="103">
        <f t="shared" si="1"/>
        <v>7</v>
      </c>
      <c r="T18" s="88">
        <f>15000+19331</f>
        <v>34331</v>
      </c>
      <c r="U18" s="89">
        <v>1</v>
      </c>
      <c r="V18" s="90" t="str">
        <f t="shared" si="2"/>
        <v>5</v>
      </c>
      <c r="W18" s="90" t="str">
        <f>IF(T18&gt;300000,"5",IF(T18&gt;100000,"4",IF(T18&gt;60000,"3",IF(T18&gt;20000,"2",IF(T18&gt;0,"1","-")))))</f>
        <v>2</v>
      </c>
      <c r="X18" s="90" t="str">
        <f t="shared" si="4"/>
        <v>5</v>
      </c>
      <c r="Y18" s="91">
        <f t="shared" si="5"/>
        <v>12</v>
      </c>
      <c r="Z18" s="92"/>
    </row>
    <row r="19" spans="1:50" ht="27" customHeight="1" x14ac:dyDescent="0.3">
      <c r="A19" s="78" t="s">
        <v>28</v>
      </c>
      <c r="B19" s="97"/>
      <c r="C19" s="97"/>
      <c r="D19" s="86" t="s">
        <v>23</v>
      </c>
      <c r="E19" s="86"/>
      <c r="F19" s="86"/>
      <c r="G19" s="86"/>
      <c r="H19" s="86"/>
      <c r="I19" s="86"/>
      <c r="J19" s="86" t="s">
        <v>23</v>
      </c>
      <c r="K19" s="86" t="s">
        <v>23</v>
      </c>
      <c r="L19" s="87"/>
      <c r="M19" s="87"/>
      <c r="N19" s="121">
        <v>74184</v>
      </c>
      <c r="O19" s="121">
        <v>0</v>
      </c>
      <c r="P19" s="121">
        <f t="shared" si="0"/>
        <v>74184</v>
      </c>
      <c r="Q19" s="110">
        <v>1</v>
      </c>
      <c r="R19" s="110">
        <v>0</v>
      </c>
      <c r="S19" s="103">
        <f t="shared" si="1"/>
        <v>1</v>
      </c>
      <c r="T19" s="88">
        <v>15000</v>
      </c>
      <c r="U19" s="89">
        <v>1</v>
      </c>
      <c r="V19" s="90" t="str">
        <f t="shared" si="2"/>
        <v>2</v>
      </c>
      <c r="W19" s="90" t="str">
        <f>IF(T19&gt;300000,"5",IF(T19&gt;100000,"4",IF(T19&gt;60000,"3",IF(T19&gt;20000,"2",IF(T19&gt;0,"1","-")))))</f>
        <v>1</v>
      </c>
      <c r="X19" s="90" t="str">
        <f t="shared" si="4"/>
        <v>5</v>
      </c>
      <c r="Y19" s="91">
        <f t="shared" si="5"/>
        <v>8</v>
      </c>
      <c r="Z19" s="98"/>
    </row>
    <row r="20" spans="1:50" ht="27" customHeight="1" x14ac:dyDescent="0.3">
      <c r="A20" s="83" t="s">
        <v>21</v>
      </c>
      <c r="B20" s="91"/>
      <c r="C20" s="91"/>
      <c r="D20" s="86" t="s">
        <v>23</v>
      </c>
      <c r="E20" s="91"/>
      <c r="F20" s="91"/>
      <c r="G20" s="91"/>
      <c r="H20" s="91"/>
      <c r="I20" s="91"/>
      <c r="J20" s="91"/>
      <c r="K20" s="91"/>
      <c r="L20" s="96"/>
      <c r="M20" s="96"/>
      <c r="N20" s="122">
        <v>0</v>
      </c>
      <c r="O20" s="122">
        <v>0</v>
      </c>
      <c r="P20" s="121">
        <f t="shared" si="0"/>
        <v>0</v>
      </c>
      <c r="Q20" s="103">
        <v>0</v>
      </c>
      <c r="R20" s="103">
        <v>0</v>
      </c>
      <c r="S20" s="103">
        <f t="shared" si="1"/>
        <v>0</v>
      </c>
      <c r="T20" s="99">
        <v>50000</v>
      </c>
      <c r="U20" s="89">
        <v>5</v>
      </c>
      <c r="V20" s="90" t="str">
        <f t="shared" si="2"/>
        <v>1</v>
      </c>
      <c r="W20" s="90" t="str">
        <f>IF(T20&gt;300000,"5",IF(T20&gt;100000,"4",IF(T20&gt;60000,"3",IF(T20&gt;20000,"2",IF(T20&gt;0,"1","-")))))</f>
        <v>2</v>
      </c>
      <c r="X20" s="90" t="str">
        <f t="shared" si="4"/>
        <v>1</v>
      </c>
      <c r="Y20" s="91">
        <f t="shared" si="5"/>
        <v>4</v>
      </c>
      <c r="Z20" s="98"/>
    </row>
    <row r="21" spans="1:50" s="10" customFormat="1" ht="27" customHeight="1" x14ac:dyDescent="0.4">
      <c r="A21" s="80" t="s">
        <v>46</v>
      </c>
      <c r="B21" s="100"/>
      <c r="C21" s="91"/>
      <c r="D21" s="91"/>
      <c r="E21" s="91" t="s">
        <v>23</v>
      </c>
      <c r="F21" s="91"/>
      <c r="G21" s="91"/>
      <c r="H21" s="91"/>
      <c r="I21" s="91"/>
      <c r="J21" s="91"/>
      <c r="K21" s="91"/>
      <c r="L21" s="101"/>
      <c r="M21" s="101"/>
      <c r="N21" s="121">
        <v>525343</v>
      </c>
      <c r="O21" s="121">
        <v>59134</v>
      </c>
      <c r="P21" s="121">
        <f t="shared" si="0"/>
        <v>584477</v>
      </c>
      <c r="Q21" s="110">
        <v>22</v>
      </c>
      <c r="R21" s="110">
        <v>3</v>
      </c>
      <c r="S21" s="103">
        <f t="shared" si="1"/>
        <v>25</v>
      </c>
      <c r="T21" s="88">
        <v>1000</v>
      </c>
      <c r="U21" s="102">
        <v>1</v>
      </c>
      <c r="V21" s="90" t="str">
        <f t="shared" si="2"/>
        <v>5</v>
      </c>
      <c r="W21" s="90" t="str">
        <f>IF(T21&gt;1000000,"5",IF(T21&gt;500000,"4",IF(T21&gt;300000,"3",IF(T21&gt;100000,"2",IF(T21&gt;0,"1","-")))))</f>
        <v>1</v>
      </c>
      <c r="X21" s="90" t="str">
        <f t="shared" si="4"/>
        <v>5</v>
      </c>
      <c r="Y21" s="91">
        <f t="shared" si="5"/>
        <v>11</v>
      </c>
      <c r="Z21" s="101"/>
    </row>
    <row r="22" spans="1:50" s="10" customFormat="1" ht="27" customHeight="1" x14ac:dyDescent="0.35">
      <c r="A22" s="84" t="s">
        <v>6</v>
      </c>
      <c r="B22" s="91"/>
      <c r="C22" s="91"/>
      <c r="D22" s="86" t="s">
        <v>23</v>
      </c>
      <c r="E22" s="86"/>
      <c r="F22" s="86"/>
      <c r="G22" s="86"/>
      <c r="H22" s="86"/>
      <c r="I22" s="86"/>
      <c r="J22" s="86" t="s">
        <v>23</v>
      </c>
      <c r="K22" s="86" t="s">
        <v>23</v>
      </c>
      <c r="L22" s="87"/>
      <c r="M22" s="87"/>
      <c r="N22" s="121">
        <f>274858/3</f>
        <v>91619.333333333328</v>
      </c>
      <c r="O22" s="121">
        <f>1944444/3</f>
        <v>648148</v>
      </c>
      <c r="P22" s="121">
        <f t="shared" si="0"/>
        <v>739767.33333333337</v>
      </c>
      <c r="Q22" s="110">
        <v>4</v>
      </c>
      <c r="R22" s="110">
        <v>1</v>
      </c>
      <c r="S22" s="103">
        <f t="shared" si="1"/>
        <v>5</v>
      </c>
      <c r="T22" s="88">
        <v>17000</v>
      </c>
      <c r="U22" s="89">
        <v>2</v>
      </c>
      <c r="V22" s="90" t="str">
        <f t="shared" si="2"/>
        <v>4</v>
      </c>
      <c r="W22" s="90" t="str">
        <f t="shared" ref="W22:W27" si="6">IF(T22&gt;300000,"5",IF(T22&gt;100000,"4",IF(T22&gt;60000,"3",IF(T22&gt;20000,"2",IF(T22&gt;0,"1","-")))))</f>
        <v>1</v>
      </c>
      <c r="X22" s="90" t="str">
        <f t="shared" si="4"/>
        <v>4</v>
      </c>
      <c r="Y22" s="91">
        <f t="shared" si="5"/>
        <v>9</v>
      </c>
      <c r="Z22" s="92"/>
    </row>
    <row r="23" spans="1:50" s="10" customFormat="1" ht="30" customHeight="1" x14ac:dyDescent="0.35">
      <c r="A23" s="81" t="s">
        <v>14</v>
      </c>
      <c r="B23" s="85"/>
      <c r="C23" s="85"/>
      <c r="D23" s="86" t="s">
        <v>23</v>
      </c>
      <c r="E23" s="86"/>
      <c r="F23" s="86"/>
      <c r="G23" s="86"/>
      <c r="H23" s="86"/>
      <c r="I23" s="86"/>
      <c r="J23" s="86" t="s">
        <v>23</v>
      </c>
      <c r="K23" s="86" t="s">
        <v>23</v>
      </c>
      <c r="L23" s="87"/>
      <c r="M23" s="87"/>
      <c r="N23" s="121">
        <f>(741840/10)*9</f>
        <v>667656</v>
      </c>
      <c r="O23" s="121">
        <v>1944444</v>
      </c>
      <c r="P23" s="121">
        <f t="shared" si="0"/>
        <v>2612100</v>
      </c>
      <c r="Q23" s="110">
        <v>10</v>
      </c>
      <c r="R23" s="110">
        <v>1</v>
      </c>
      <c r="S23" s="103">
        <f t="shared" si="1"/>
        <v>11</v>
      </c>
      <c r="T23" s="88">
        <f>15000+19314</f>
        <v>34314</v>
      </c>
      <c r="U23" s="89">
        <v>2</v>
      </c>
      <c r="V23" s="90" t="str">
        <f t="shared" si="2"/>
        <v>5</v>
      </c>
      <c r="W23" s="90" t="str">
        <f t="shared" si="6"/>
        <v>2</v>
      </c>
      <c r="X23" s="90" t="str">
        <f t="shared" si="4"/>
        <v>4</v>
      </c>
      <c r="Y23" s="91">
        <f t="shared" si="5"/>
        <v>11</v>
      </c>
      <c r="Z23" s="92"/>
    </row>
    <row r="24" spans="1:50" ht="42.75" customHeight="1" x14ac:dyDescent="0.3">
      <c r="A24" s="81" t="s">
        <v>17</v>
      </c>
      <c r="B24" s="85"/>
      <c r="C24" s="85"/>
      <c r="D24" s="86" t="s">
        <v>23</v>
      </c>
      <c r="E24" s="86"/>
      <c r="F24" s="86"/>
      <c r="G24" s="86"/>
      <c r="H24" s="86"/>
      <c r="I24" s="86"/>
      <c r="J24" s="86" t="s">
        <v>23</v>
      </c>
      <c r="K24" s="86" t="s">
        <v>23</v>
      </c>
      <c r="L24" s="87"/>
      <c r="M24" s="87"/>
      <c r="N24" s="121">
        <v>1255116</v>
      </c>
      <c r="O24" s="121">
        <v>0</v>
      </c>
      <c r="P24" s="121">
        <f t="shared" si="0"/>
        <v>1255116</v>
      </c>
      <c r="Q24" s="110">
        <v>7</v>
      </c>
      <c r="R24" s="110">
        <v>0</v>
      </c>
      <c r="S24" s="103">
        <f t="shared" si="1"/>
        <v>7</v>
      </c>
      <c r="T24" s="88">
        <f>14000+21184</f>
        <v>35184</v>
      </c>
      <c r="U24" s="89">
        <v>1</v>
      </c>
      <c r="V24" s="90" t="str">
        <f t="shared" si="2"/>
        <v>5</v>
      </c>
      <c r="W24" s="90" t="str">
        <f t="shared" si="6"/>
        <v>2</v>
      </c>
      <c r="X24" s="90" t="str">
        <f t="shared" si="4"/>
        <v>5</v>
      </c>
      <c r="Y24" s="91">
        <f t="shared" si="5"/>
        <v>12</v>
      </c>
      <c r="Z24" s="92"/>
    </row>
    <row r="25" spans="1:50" ht="30.75" customHeight="1" x14ac:dyDescent="0.3">
      <c r="A25" s="83" t="s">
        <v>20</v>
      </c>
      <c r="B25" s="91"/>
      <c r="C25" s="91"/>
      <c r="D25" s="86" t="s">
        <v>23</v>
      </c>
      <c r="E25" s="91"/>
      <c r="F25" s="91"/>
      <c r="G25" s="91"/>
      <c r="H25" s="91"/>
      <c r="I25" s="91"/>
      <c r="J25" s="91"/>
      <c r="K25" s="91"/>
      <c r="L25" s="96"/>
      <c r="M25" s="96"/>
      <c r="N25" s="122">
        <v>0</v>
      </c>
      <c r="O25" s="122">
        <v>0</v>
      </c>
      <c r="P25" s="121">
        <f t="shared" si="0"/>
        <v>0</v>
      </c>
      <c r="Q25" s="103">
        <v>0</v>
      </c>
      <c r="R25" s="103">
        <v>0</v>
      </c>
      <c r="S25" s="103">
        <f t="shared" si="1"/>
        <v>0</v>
      </c>
      <c r="T25" s="99">
        <v>17000</v>
      </c>
      <c r="U25" s="89">
        <v>5</v>
      </c>
      <c r="V25" s="90" t="str">
        <f t="shared" si="2"/>
        <v>1</v>
      </c>
      <c r="W25" s="90" t="str">
        <f t="shared" si="6"/>
        <v>1</v>
      </c>
      <c r="X25" s="90" t="str">
        <f t="shared" si="4"/>
        <v>1</v>
      </c>
      <c r="Y25" s="91">
        <f t="shared" si="5"/>
        <v>3</v>
      </c>
      <c r="Z25" s="98"/>
      <c r="AB25" s="52"/>
    </row>
    <row r="26" spans="1:50" ht="30.75" customHeight="1" x14ac:dyDescent="0.3">
      <c r="A26" s="81" t="s">
        <v>15</v>
      </c>
      <c r="B26" s="85"/>
      <c r="C26" s="85"/>
      <c r="D26" s="86" t="s">
        <v>23</v>
      </c>
      <c r="E26" s="86"/>
      <c r="F26" s="86"/>
      <c r="G26" s="86"/>
      <c r="H26" s="86"/>
      <c r="I26" s="86"/>
      <c r="J26" s="86" t="s">
        <v>23</v>
      </c>
      <c r="K26" s="86" t="s">
        <v>23</v>
      </c>
      <c r="L26" s="87"/>
      <c r="M26" s="87"/>
      <c r="N26" s="121">
        <f>(274858/3)*2</f>
        <v>183238.66666666666</v>
      </c>
      <c r="O26" s="121">
        <f>(1944444/3)*2</f>
        <v>1296296</v>
      </c>
      <c r="P26" s="121">
        <f t="shared" si="0"/>
        <v>1479534.6666666667</v>
      </c>
      <c r="Q26" s="110">
        <v>4</v>
      </c>
      <c r="R26" s="110">
        <v>1</v>
      </c>
      <c r="S26" s="103">
        <f t="shared" si="1"/>
        <v>5</v>
      </c>
      <c r="T26" s="88">
        <f>17000+16869</f>
        <v>33869</v>
      </c>
      <c r="U26" s="89">
        <v>2</v>
      </c>
      <c r="V26" s="90" t="str">
        <f t="shared" si="2"/>
        <v>4</v>
      </c>
      <c r="W26" s="90" t="str">
        <f t="shared" si="6"/>
        <v>2</v>
      </c>
      <c r="X26" s="90" t="str">
        <f t="shared" si="4"/>
        <v>4</v>
      </c>
      <c r="Y26" s="91">
        <f t="shared" si="5"/>
        <v>10</v>
      </c>
      <c r="Z26" s="98"/>
      <c r="AB26" s="52"/>
    </row>
    <row r="27" spans="1:50" ht="20" x14ac:dyDescent="0.3">
      <c r="A27" s="81" t="s">
        <v>90</v>
      </c>
      <c r="B27" s="85"/>
      <c r="C27" s="85"/>
      <c r="D27" s="86"/>
      <c r="E27" s="86"/>
      <c r="F27" s="86"/>
      <c r="G27" s="86"/>
      <c r="H27" s="86"/>
      <c r="I27" s="86"/>
      <c r="J27" s="86"/>
      <c r="K27" s="86"/>
      <c r="L27" s="87"/>
      <c r="M27" s="87"/>
      <c r="N27" s="121">
        <v>238720</v>
      </c>
      <c r="O27" s="121">
        <v>0</v>
      </c>
      <c r="P27" s="121">
        <f t="shared" si="0"/>
        <v>238720</v>
      </c>
      <c r="Q27" s="110">
        <v>3</v>
      </c>
      <c r="R27" s="110">
        <v>0</v>
      </c>
      <c r="S27" s="103">
        <f t="shared" si="1"/>
        <v>3</v>
      </c>
      <c r="T27" s="88">
        <v>15000</v>
      </c>
      <c r="U27" s="89">
        <v>1</v>
      </c>
      <c r="V27" s="90" t="str">
        <f t="shared" si="2"/>
        <v>3</v>
      </c>
      <c r="W27" s="90" t="str">
        <f t="shared" si="6"/>
        <v>1</v>
      </c>
      <c r="X27" s="90" t="str">
        <f t="shared" si="4"/>
        <v>5</v>
      </c>
      <c r="Y27" s="91">
        <f t="shared" si="5"/>
        <v>9</v>
      </c>
      <c r="Z27" s="98"/>
    </row>
    <row r="28" spans="1:50" ht="23.5" x14ac:dyDescent="0.35"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X28" s="51"/>
    </row>
    <row r="29" spans="1:50" x14ac:dyDescent="0.35">
      <c r="A29" s="112" t="s">
        <v>134</v>
      </c>
    </row>
    <row r="30" spans="1:50" ht="20" x14ac:dyDescent="0.35">
      <c r="A30" s="125" t="s">
        <v>113</v>
      </c>
      <c r="I30" s="36" t="s">
        <v>135</v>
      </c>
      <c r="J30" s="113" t="s">
        <v>23</v>
      </c>
      <c r="N30" s="114">
        <v>8054135</v>
      </c>
      <c r="O30" s="114">
        <v>2167387</v>
      </c>
      <c r="P30" s="124">
        <f>SUM(N30:O30)</f>
        <v>10221522</v>
      </c>
      <c r="Q30" s="3">
        <v>16</v>
      </c>
      <c r="R30" s="3">
        <v>3</v>
      </c>
      <c r="S30" s="3">
        <f>SUM(Q30:R30)</f>
        <v>19</v>
      </c>
    </row>
    <row r="31" spans="1:50" ht="20" x14ac:dyDescent="0.35">
      <c r="A31" s="125" t="s">
        <v>114</v>
      </c>
      <c r="J31" s="113" t="s">
        <v>23</v>
      </c>
      <c r="K31" s="113" t="s">
        <v>23</v>
      </c>
      <c r="N31" s="114">
        <v>765920</v>
      </c>
      <c r="O31" s="114">
        <v>1300000</v>
      </c>
      <c r="P31" s="124">
        <f t="shared" ref="P31:P94" si="7">SUM(N31:O31)</f>
        <v>2065920</v>
      </c>
      <c r="Q31" s="3">
        <v>6</v>
      </c>
      <c r="R31" s="3">
        <v>1</v>
      </c>
      <c r="S31" s="3">
        <f t="shared" ref="S31:S94" si="8">SUM(Q31:R31)</f>
        <v>7</v>
      </c>
    </row>
    <row r="32" spans="1:50" ht="20" x14ac:dyDescent="0.35">
      <c r="A32" s="126" t="s">
        <v>115</v>
      </c>
      <c r="J32" s="113" t="s">
        <v>23</v>
      </c>
      <c r="N32" s="114">
        <v>87270</v>
      </c>
      <c r="O32" s="114">
        <v>1300000</v>
      </c>
      <c r="P32" s="124">
        <f t="shared" si="7"/>
        <v>1387270</v>
      </c>
      <c r="Q32" s="3">
        <v>1</v>
      </c>
      <c r="R32" s="3">
        <v>1</v>
      </c>
      <c r="S32" s="3">
        <f t="shared" si="8"/>
        <v>2</v>
      </c>
    </row>
    <row r="33" spans="1:19" ht="20" x14ac:dyDescent="0.35">
      <c r="A33" s="126" t="s">
        <v>116</v>
      </c>
      <c r="J33" s="113" t="s">
        <v>23</v>
      </c>
      <c r="K33" s="113" t="s">
        <v>23</v>
      </c>
      <c r="N33" s="114">
        <v>437717</v>
      </c>
      <c r="O33" s="114">
        <v>1300000</v>
      </c>
      <c r="P33" s="124">
        <f t="shared" si="7"/>
        <v>1737717</v>
      </c>
      <c r="Q33" s="3">
        <v>5</v>
      </c>
      <c r="R33" s="3">
        <v>1</v>
      </c>
      <c r="S33" s="3">
        <f t="shared" si="8"/>
        <v>6</v>
      </c>
    </row>
    <row r="34" spans="1:19" ht="29" x14ac:dyDescent="0.35">
      <c r="A34" s="126" t="s">
        <v>117</v>
      </c>
      <c r="J34" s="113" t="s">
        <v>23</v>
      </c>
      <c r="N34" s="114">
        <v>0</v>
      </c>
      <c r="O34" s="114">
        <v>1300000</v>
      </c>
      <c r="P34" s="124">
        <f t="shared" si="7"/>
        <v>1300000</v>
      </c>
      <c r="Q34" s="3">
        <v>0</v>
      </c>
      <c r="R34" s="3">
        <v>1</v>
      </c>
      <c r="S34" s="3">
        <f t="shared" si="8"/>
        <v>1</v>
      </c>
    </row>
    <row r="35" spans="1:19" ht="20" x14ac:dyDescent="0.35">
      <c r="A35" s="126" t="s">
        <v>118</v>
      </c>
      <c r="J35" s="113" t="s">
        <v>23</v>
      </c>
      <c r="K35" s="113" t="s">
        <v>23</v>
      </c>
      <c r="N35" s="114">
        <v>29760</v>
      </c>
      <c r="O35" s="114">
        <v>1300000</v>
      </c>
      <c r="P35" s="124">
        <f t="shared" si="7"/>
        <v>1329760</v>
      </c>
      <c r="Q35" s="3">
        <v>1</v>
      </c>
      <c r="R35" s="3">
        <v>1</v>
      </c>
      <c r="S35" s="3">
        <f t="shared" si="8"/>
        <v>2</v>
      </c>
    </row>
    <row r="36" spans="1:19" ht="20" x14ac:dyDescent="0.35">
      <c r="A36" s="126" t="s">
        <v>119</v>
      </c>
      <c r="E36" s="113" t="s">
        <v>23</v>
      </c>
      <c r="N36" s="114">
        <v>3576603</v>
      </c>
      <c r="O36" s="114">
        <v>2207142</v>
      </c>
      <c r="P36" s="124">
        <f t="shared" si="7"/>
        <v>5783745</v>
      </c>
      <c r="Q36" s="3">
        <v>20</v>
      </c>
      <c r="R36" s="3">
        <v>5</v>
      </c>
      <c r="S36" s="3">
        <f t="shared" si="8"/>
        <v>25</v>
      </c>
    </row>
    <row r="37" spans="1:19" ht="20" x14ac:dyDescent="0.35">
      <c r="A37" s="126" t="s">
        <v>121</v>
      </c>
      <c r="E37" s="113" t="s">
        <v>23</v>
      </c>
      <c r="J37" s="113" t="s">
        <v>23</v>
      </c>
      <c r="N37" s="114">
        <v>3736457</v>
      </c>
      <c r="O37" s="114">
        <v>2207142</v>
      </c>
      <c r="P37" s="124">
        <f t="shared" si="7"/>
        <v>5943599</v>
      </c>
      <c r="Q37" s="3">
        <v>20</v>
      </c>
      <c r="R37" s="3">
        <v>5</v>
      </c>
      <c r="S37" s="3">
        <f t="shared" si="8"/>
        <v>25</v>
      </c>
    </row>
    <row r="38" spans="1:19" ht="20" x14ac:dyDescent="0.35">
      <c r="A38" s="126" t="s">
        <v>120</v>
      </c>
      <c r="E38" s="113" t="s">
        <v>23</v>
      </c>
      <c r="J38" s="113" t="s">
        <v>23</v>
      </c>
      <c r="N38" s="114">
        <v>3722722</v>
      </c>
      <c r="O38" s="114">
        <v>2207142</v>
      </c>
      <c r="P38" s="124">
        <f t="shared" si="7"/>
        <v>5929864</v>
      </c>
      <c r="Q38" s="3">
        <v>20</v>
      </c>
      <c r="R38" s="3">
        <v>5</v>
      </c>
      <c r="S38" s="3">
        <f t="shared" si="8"/>
        <v>25</v>
      </c>
    </row>
    <row r="39" spans="1:19" ht="20" x14ac:dyDescent="0.35">
      <c r="A39" s="125" t="s">
        <v>122</v>
      </c>
      <c r="E39" s="113" t="s">
        <v>23</v>
      </c>
      <c r="N39" s="114">
        <v>483283</v>
      </c>
      <c r="O39" s="114">
        <v>894314</v>
      </c>
      <c r="P39" s="124">
        <f t="shared" si="7"/>
        <v>1377597</v>
      </c>
      <c r="Q39" s="3">
        <v>13</v>
      </c>
      <c r="R39" s="3">
        <v>2</v>
      </c>
      <c r="S39" s="3">
        <f t="shared" si="8"/>
        <v>15</v>
      </c>
    </row>
    <row r="40" spans="1:19" ht="20" x14ac:dyDescent="0.35">
      <c r="A40" s="125" t="s">
        <v>123</v>
      </c>
      <c r="E40" s="113" t="s">
        <v>23</v>
      </c>
      <c r="N40" s="114">
        <v>95375</v>
      </c>
      <c r="O40" s="114">
        <v>54314</v>
      </c>
      <c r="P40" s="124">
        <f t="shared" si="7"/>
        <v>149689</v>
      </c>
      <c r="Q40" s="3">
        <v>2</v>
      </c>
      <c r="R40" s="3">
        <v>1</v>
      </c>
      <c r="S40" s="3">
        <f t="shared" si="8"/>
        <v>3</v>
      </c>
    </row>
    <row r="41" spans="1:19" ht="20" x14ac:dyDescent="0.35">
      <c r="A41" s="125" t="s">
        <v>124</v>
      </c>
      <c r="E41" s="113" t="s">
        <v>23</v>
      </c>
      <c r="N41" s="114">
        <v>433783</v>
      </c>
      <c r="O41" s="114">
        <v>54314</v>
      </c>
      <c r="P41" s="124">
        <f t="shared" si="7"/>
        <v>488097</v>
      </c>
      <c r="Q41" s="3">
        <v>13</v>
      </c>
      <c r="R41" s="3">
        <v>1</v>
      </c>
      <c r="S41" s="3">
        <f t="shared" si="8"/>
        <v>14</v>
      </c>
    </row>
    <row r="42" spans="1:19" ht="20" x14ac:dyDescent="0.35">
      <c r="A42" s="125" t="s">
        <v>125</v>
      </c>
      <c r="E42" s="113" t="s">
        <v>23</v>
      </c>
      <c r="G42" s="36" t="s">
        <v>135</v>
      </c>
      <c r="H42" s="36" t="s">
        <v>135</v>
      </c>
      <c r="I42" s="36" t="s">
        <v>135</v>
      </c>
      <c r="J42" s="113" t="s">
        <v>23</v>
      </c>
      <c r="K42" s="113" t="s">
        <v>23</v>
      </c>
      <c r="N42" s="114">
        <v>6107246</v>
      </c>
      <c r="O42" s="114">
        <v>2357694</v>
      </c>
      <c r="P42" s="124">
        <f t="shared" si="7"/>
        <v>8464940</v>
      </c>
      <c r="Q42" s="3">
        <v>5</v>
      </c>
      <c r="R42" s="3">
        <v>3</v>
      </c>
      <c r="S42" s="3">
        <f t="shared" si="8"/>
        <v>8</v>
      </c>
    </row>
    <row r="43" spans="1:19" ht="20" x14ac:dyDescent="0.35">
      <c r="A43" s="127" t="s">
        <v>126</v>
      </c>
      <c r="E43" s="113" t="s">
        <v>23</v>
      </c>
      <c r="G43" s="36" t="s">
        <v>135</v>
      </c>
      <c r="H43" s="36" t="s">
        <v>135</v>
      </c>
      <c r="I43" s="36" t="s">
        <v>135</v>
      </c>
      <c r="N43" s="114">
        <v>2617320</v>
      </c>
      <c r="O43" s="114">
        <v>762800</v>
      </c>
      <c r="P43" s="124">
        <f t="shared" si="7"/>
        <v>3380120</v>
      </c>
      <c r="Q43" s="3">
        <v>19</v>
      </c>
      <c r="R43" s="3">
        <v>2</v>
      </c>
      <c r="S43" s="3">
        <f t="shared" si="8"/>
        <v>21</v>
      </c>
    </row>
    <row r="44" spans="1:19" ht="20" x14ac:dyDescent="0.35">
      <c r="A44" s="127" t="s">
        <v>127</v>
      </c>
      <c r="E44" s="113" t="s">
        <v>23</v>
      </c>
      <c r="G44" s="36" t="s">
        <v>135</v>
      </c>
      <c r="H44" s="36" t="s">
        <v>135</v>
      </c>
      <c r="I44" s="36" t="s">
        <v>135</v>
      </c>
      <c r="N44" s="114">
        <v>2617320</v>
      </c>
      <c r="O44" s="114">
        <v>762800</v>
      </c>
      <c r="P44" s="124">
        <f t="shared" si="7"/>
        <v>3380120</v>
      </c>
      <c r="Q44" s="3">
        <v>19</v>
      </c>
      <c r="R44" s="3">
        <v>2</v>
      </c>
      <c r="S44" s="3">
        <f t="shared" si="8"/>
        <v>21</v>
      </c>
    </row>
    <row r="45" spans="1:19" ht="20" x14ac:dyDescent="0.35">
      <c r="A45" s="125" t="s">
        <v>128</v>
      </c>
      <c r="E45" s="113" t="s">
        <v>23</v>
      </c>
      <c r="J45" s="113" t="s">
        <v>23</v>
      </c>
      <c r="N45" s="114">
        <v>95628</v>
      </c>
      <c r="O45" s="114">
        <v>18600</v>
      </c>
      <c r="P45" s="124">
        <f t="shared" si="7"/>
        <v>114228</v>
      </c>
      <c r="Q45" s="3">
        <v>2</v>
      </c>
      <c r="R45" s="3">
        <v>1</v>
      </c>
      <c r="S45" s="3">
        <f t="shared" si="8"/>
        <v>3</v>
      </c>
    </row>
    <row r="46" spans="1:19" ht="20" x14ac:dyDescent="0.35">
      <c r="A46" s="125" t="s">
        <v>129</v>
      </c>
      <c r="E46" s="113" t="s">
        <v>23</v>
      </c>
      <c r="N46" s="114">
        <v>794358</v>
      </c>
      <c r="O46" s="114">
        <v>105454</v>
      </c>
      <c r="P46" s="124">
        <f t="shared" si="7"/>
        <v>899812</v>
      </c>
      <c r="Q46" s="3">
        <v>20</v>
      </c>
      <c r="R46" s="3">
        <v>3</v>
      </c>
      <c r="S46" s="3">
        <f t="shared" si="8"/>
        <v>23</v>
      </c>
    </row>
    <row r="47" spans="1:19" ht="28.5" x14ac:dyDescent="0.35">
      <c r="A47" s="125" t="s">
        <v>130</v>
      </c>
      <c r="E47" s="113" t="s">
        <v>23</v>
      </c>
      <c r="N47" s="114">
        <v>771597</v>
      </c>
      <c r="O47" s="114">
        <v>92214</v>
      </c>
      <c r="P47" s="124">
        <f t="shared" si="7"/>
        <v>863811</v>
      </c>
      <c r="Q47" s="3">
        <v>18</v>
      </c>
      <c r="R47" s="3">
        <v>2</v>
      </c>
      <c r="S47" s="3">
        <f t="shared" si="8"/>
        <v>20</v>
      </c>
    </row>
    <row r="48" spans="1:19" ht="20" x14ac:dyDescent="0.35">
      <c r="A48" s="125" t="s">
        <v>131</v>
      </c>
      <c r="E48" s="113" t="s">
        <v>23</v>
      </c>
      <c r="N48" s="114">
        <v>0</v>
      </c>
      <c r="O48" s="114">
        <v>16125</v>
      </c>
      <c r="P48" s="124">
        <f t="shared" si="7"/>
        <v>16125</v>
      </c>
      <c r="Q48" s="3">
        <v>0</v>
      </c>
      <c r="R48" s="3">
        <v>1</v>
      </c>
      <c r="S48" s="3">
        <f t="shared" si="8"/>
        <v>1</v>
      </c>
    </row>
    <row r="49" spans="1:19" ht="20" x14ac:dyDescent="0.35">
      <c r="A49" s="125" t="s">
        <v>132</v>
      </c>
      <c r="E49" s="113" t="s">
        <v>23</v>
      </c>
      <c r="N49" s="114">
        <v>0</v>
      </c>
      <c r="O49" s="114">
        <v>14175</v>
      </c>
      <c r="P49" s="124">
        <f t="shared" si="7"/>
        <v>14175</v>
      </c>
      <c r="Q49" s="3">
        <v>0</v>
      </c>
      <c r="R49" s="3">
        <v>1</v>
      </c>
      <c r="S49" s="3">
        <f t="shared" si="8"/>
        <v>1</v>
      </c>
    </row>
    <row r="50" spans="1:19" ht="20" x14ac:dyDescent="0.35">
      <c r="A50" s="125" t="s">
        <v>133</v>
      </c>
      <c r="E50" s="113" t="s">
        <v>23</v>
      </c>
      <c r="N50" s="114">
        <v>0</v>
      </c>
      <c r="O50" s="114">
        <v>17375</v>
      </c>
      <c r="P50" s="124">
        <f t="shared" si="7"/>
        <v>17375</v>
      </c>
      <c r="Q50" s="3">
        <v>0</v>
      </c>
      <c r="R50" s="3">
        <v>1</v>
      </c>
      <c r="S50" s="3">
        <f t="shared" si="8"/>
        <v>1</v>
      </c>
    </row>
    <row r="51" spans="1:19" ht="20" x14ac:dyDescent="0.35">
      <c r="A51" s="125" t="s">
        <v>167</v>
      </c>
      <c r="E51" s="113" t="s">
        <v>23</v>
      </c>
      <c r="N51" s="114">
        <v>287889</v>
      </c>
      <c r="O51" s="114">
        <v>13579</v>
      </c>
      <c r="P51" s="124">
        <f t="shared" si="7"/>
        <v>301468</v>
      </c>
      <c r="Q51" s="3">
        <v>11</v>
      </c>
      <c r="R51" s="3">
        <v>1</v>
      </c>
      <c r="S51" s="3">
        <f t="shared" si="8"/>
        <v>12</v>
      </c>
    </row>
    <row r="52" spans="1:19" ht="28.5" x14ac:dyDescent="0.35">
      <c r="A52" s="125" t="s">
        <v>136</v>
      </c>
      <c r="F52" s="36" t="s">
        <v>135</v>
      </c>
      <c r="G52" s="36" t="s">
        <v>135</v>
      </c>
      <c r="I52" s="36" t="s">
        <v>135</v>
      </c>
      <c r="J52" s="36" t="s">
        <v>135</v>
      </c>
      <c r="N52" s="114">
        <v>5863636</v>
      </c>
      <c r="O52" s="114">
        <v>0</v>
      </c>
      <c r="P52" s="124">
        <f t="shared" si="7"/>
        <v>5863636</v>
      </c>
      <c r="Q52" s="3">
        <v>1</v>
      </c>
      <c r="R52" s="3">
        <v>0</v>
      </c>
      <c r="S52" s="3">
        <f t="shared" si="8"/>
        <v>1</v>
      </c>
    </row>
    <row r="53" spans="1:19" x14ac:dyDescent="0.35">
      <c r="A53" s="125" t="s">
        <v>137</v>
      </c>
      <c r="E53" s="36" t="s">
        <v>135</v>
      </c>
      <c r="N53" s="114">
        <v>5572444</v>
      </c>
      <c r="O53" s="114">
        <v>0</v>
      </c>
      <c r="P53" s="124">
        <f t="shared" si="7"/>
        <v>5572444</v>
      </c>
      <c r="Q53" s="3">
        <v>11</v>
      </c>
      <c r="R53" s="3">
        <v>0</v>
      </c>
      <c r="S53" s="3">
        <f t="shared" si="8"/>
        <v>11</v>
      </c>
    </row>
    <row r="54" spans="1:19" ht="28.5" x14ac:dyDescent="0.35">
      <c r="A54" s="125" t="s">
        <v>138</v>
      </c>
      <c r="E54" s="36" t="s">
        <v>135</v>
      </c>
      <c r="N54" s="114">
        <v>5330000</v>
      </c>
      <c r="O54" s="114">
        <v>0</v>
      </c>
      <c r="P54" s="124">
        <f t="shared" si="7"/>
        <v>5330000</v>
      </c>
      <c r="Q54" s="3">
        <v>5</v>
      </c>
      <c r="R54" s="3">
        <v>0</v>
      </c>
      <c r="S54" s="3">
        <f t="shared" si="8"/>
        <v>5</v>
      </c>
    </row>
    <row r="55" spans="1:19" ht="28.5" x14ac:dyDescent="0.35">
      <c r="A55" s="125" t="s">
        <v>139</v>
      </c>
      <c r="E55" s="36" t="s">
        <v>135</v>
      </c>
      <c r="N55" s="114">
        <v>1670462</v>
      </c>
      <c r="O55" s="114">
        <v>0</v>
      </c>
      <c r="P55" s="124">
        <f t="shared" si="7"/>
        <v>1670462</v>
      </c>
      <c r="Q55" s="3">
        <v>9</v>
      </c>
      <c r="R55" s="3">
        <v>0</v>
      </c>
      <c r="S55" s="3">
        <f t="shared" si="8"/>
        <v>9</v>
      </c>
    </row>
    <row r="56" spans="1:19" x14ac:dyDescent="0.35">
      <c r="A56" s="125" t="s">
        <v>140</v>
      </c>
      <c r="E56" s="36" t="s">
        <v>135</v>
      </c>
      <c r="N56" s="114">
        <v>1670462</v>
      </c>
      <c r="O56" s="114">
        <v>0</v>
      </c>
      <c r="P56" s="124">
        <f t="shared" si="7"/>
        <v>1670462</v>
      </c>
      <c r="Q56" s="3">
        <v>18</v>
      </c>
      <c r="R56" s="3">
        <v>0</v>
      </c>
      <c r="S56" s="3">
        <f t="shared" si="8"/>
        <v>18</v>
      </c>
    </row>
    <row r="57" spans="1:19" x14ac:dyDescent="0.35">
      <c r="A57" s="125" t="s">
        <v>141</v>
      </c>
      <c r="E57" s="36" t="s">
        <v>135</v>
      </c>
      <c r="N57" s="115">
        <v>1163251</v>
      </c>
      <c r="O57" s="114">
        <v>0</v>
      </c>
      <c r="P57" s="124">
        <f t="shared" si="7"/>
        <v>1163251</v>
      </c>
      <c r="Q57" s="3">
        <v>10</v>
      </c>
      <c r="R57" s="3">
        <v>0</v>
      </c>
      <c r="S57" s="3">
        <f t="shared" si="8"/>
        <v>10</v>
      </c>
    </row>
    <row r="58" spans="1:19" x14ac:dyDescent="0.35">
      <c r="A58" s="125" t="s">
        <v>142</v>
      </c>
      <c r="E58" s="36" t="s">
        <v>135</v>
      </c>
      <c r="N58" s="115">
        <v>1044039</v>
      </c>
      <c r="O58" s="114">
        <v>0</v>
      </c>
      <c r="P58" s="124">
        <f t="shared" si="7"/>
        <v>1044039</v>
      </c>
      <c r="Q58" s="3">
        <v>9</v>
      </c>
      <c r="R58" s="3">
        <v>0</v>
      </c>
      <c r="S58" s="3">
        <f t="shared" si="8"/>
        <v>9</v>
      </c>
    </row>
    <row r="59" spans="1:19" x14ac:dyDescent="0.35">
      <c r="A59" s="125" t="s">
        <v>143</v>
      </c>
      <c r="E59" s="36" t="s">
        <v>135</v>
      </c>
      <c r="N59" s="115">
        <v>1044039</v>
      </c>
      <c r="O59" s="114">
        <v>0</v>
      </c>
      <c r="P59" s="124">
        <f t="shared" si="7"/>
        <v>1044039</v>
      </c>
      <c r="Q59" s="3">
        <v>9</v>
      </c>
      <c r="R59" s="3">
        <v>0</v>
      </c>
      <c r="S59" s="3">
        <f t="shared" si="8"/>
        <v>9</v>
      </c>
    </row>
    <row r="60" spans="1:19" x14ac:dyDescent="0.35">
      <c r="A60" s="125" t="s">
        <v>144</v>
      </c>
      <c r="E60" s="36"/>
      <c r="J60" s="36" t="s">
        <v>135</v>
      </c>
      <c r="N60" s="116">
        <v>1000000</v>
      </c>
      <c r="O60" s="114">
        <v>0</v>
      </c>
      <c r="P60" s="124">
        <f t="shared" si="7"/>
        <v>1000000</v>
      </c>
      <c r="Q60" s="3">
        <v>1</v>
      </c>
      <c r="R60" s="3">
        <v>0</v>
      </c>
      <c r="S60" s="3">
        <f t="shared" si="8"/>
        <v>1</v>
      </c>
    </row>
    <row r="61" spans="1:19" x14ac:dyDescent="0.35">
      <c r="A61" s="125" t="s">
        <v>145</v>
      </c>
      <c r="J61" s="36" t="s">
        <v>135</v>
      </c>
      <c r="N61" s="116">
        <v>1000000</v>
      </c>
      <c r="O61" s="114">
        <v>0</v>
      </c>
      <c r="P61" s="124">
        <f t="shared" si="7"/>
        <v>1000000</v>
      </c>
      <c r="Q61" s="3">
        <v>1</v>
      </c>
      <c r="R61" s="3">
        <v>0</v>
      </c>
      <c r="S61" s="3">
        <f t="shared" si="8"/>
        <v>1</v>
      </c>
    </row>
    <row r="62" spans="1:19" x14ac:dyDescent="0.35">
      <c r="A62" s="125" t="s">
        <v>146</v>
      </c>
      <c r="J62" s="36" t="s">
        <v>135</v>
      </c>
      <c r="N62" s="116">
        <v>1000000</v>
      </c>
      <c r="O62" s="114">
        <v>0</v>
      </c>
      <c r="P62" s="124">
        <f t="shared" si="7"/>
        <v>1000000</v>
      </c>
      <c r="Q62" s="3">
        <v>1</v>
      </c>
      <c r="R62" s="3">
        <v>0</v>
      </c>
      <c r="S62" s="3">
        <f t="shared" si="8"/>
        <v>1</v>
      </c>
    </row>
    <row r="63" spans="1:19" x14ac:dyDescent="0.35">
      <c r="A63" s="125" t="s">
        <v>147</v>
      </c>
      <c r="E63" s="36" t="s">
        <v>135</v>
      </c>
      <c r="N63" s="116">
        <v>877091</v>
      </c>
      <c r="O63" s="114">
        <v>0</v>
      </c>
      <c r="P63" s="124">
        <f t="shared" si="7"/>
        <v>877091</v>
      </c>
      <c r="Q63" s="3">
        <v>10</v>
      </c>
      <c r="R63" s="3">
        <v>0</v>
      </c>
      <c r="S63" s="3">
        <f t="shared" si="8"/>
        <v>10</v>
      </c>
    </row>
    <row r="64" spans="1:19" x14ac:dyDescent="0.35">
      <c r="A64" s="125" t="s">
        <v>148</v>
      </c>
      <c r="E64" s="36" t="s">
        <v>135</v>
      </c>
      <c r="N64" s="116">
        <v>835231</v>
      </c>
      <c r="O64" s="114">
        <v>0</v>
      </c>
      <c r="P64" s="124">
        <f t="shared" si="7"/>
        <v>835231</v>
      </c>
      <c r="Q64" s="3">
        <v>9</v>
      </c>
      <c r="R64" s="3">
        <v>0</v>
      </c>
      <c r="S64" s="3">
        <f t="shared" si="8"/>
        <v>9</v>
      </c>
    </row>
    <row r="65" spans="1:19" x14ac:dyDescent="0.35">
      <c r="A65" s="125" t="s">
        <v>149</v>
      </c>
      <c r="E65" s="36" t="s">
        <v>135</v>
      </c>
      <c r="N65" s="116">
        <v>835231</v>
      </c>
      <c r="O65" s="114">
        <v>0</v>
      </c>
      <c r="P65" s="124">
        <f t="shared" si="7"/>
        <v>835231</v>
      </c>
      <c r="Q65" s="3">
        <v>9</v>
      </c>
      <c r="R65" s="3">
        <v>0</v>
      </c>
      <c r="S65" s="3">
        <f t="shared" si="8"/>
        <v>9</v>
      </c>
    </row>
    <row r="66" spans="1:19" x14ac:dyDescent="0.35">
      <c r="A66" s="125" t="s">
        <v>150</v>
      </c>
      <c r="E66" s="36" t="s">
        <v>135</v>
      </c>
      <c r="N66" s="116">
        <v>835231</v>
      </c>
      <c r="O66" s="114">
        <v>0</v>
      </c>
      <c r="P66" s="124">
        <f t="shared" si="7"/>
        <v>835231</v>
      </c>
      <c r="Q66" s="3">
        <v>9</v>
      </c>
      <c r="R66" s="3">
        <v>0</v>
      </c>
      <c r="S66" s="3">
        <f t="shared" si="8"/>
        <v>9</v>
      </c>
    </row>
    <row r="67" spans="1:19" x14ac:dyDescent="0.35">
      <c r="A67" s="125" t="s">
        <v>151</v>
      </c>
      <c r="E67" s="36" t="s">
        <v>135</v>
      </c>
      <c r="N67" s="116">
        <v>835231</v>
      </c>
      <c r="O67" s="114">
        <v>0</v>
      </c>
      <c r="P67" s="124">
        <f t="shared" si="7"/>
        <v>835231</v>
      </c>
      <c r="Q67" s="3">
        <v>9</v>
      </c>
      <c r="R67" s="3">
        <v>0</v>
      </c>
      <c r="S67" s="3">
        <f t="shared" si="8"/>
        <v>9</v>
      </c>
    </row>
    <row r="68" spans="1:19" x14ac:dyDescent="0.35">
      <c r="A68" s="125" t="s">
        <v>152</v>
      </c>
      <c r="E68" s="36" t="s">
        <v>135</v>
      </c>
      <c r="N68" s="116">
        <v>835231</v>
      </c>
      <c r="O68" s="114">
        <v>0</v>
      </c>
      <c r="P68" s="124">
        <f t="shared" si="7"/>
        <v>835231</v>
      </c>
      <c r="Q68" s="3">
        <v>9</v>
      </c>
      <c r="R68" s="3">
        <v>0</v>
      </c>
      <c r="S68" s="3">
        <f t="shared" si="8"/>
        <v>9</v>
      </c>
    </row>
    <row r="69" spans="1:19" x14ac:dyDescent="0.35">
      <c r="A69" s="125" t="s">
        <v>153</v>
      </c>
      <c r="E69" s="36" t="s">
        <v>135</v>
      </c>
      <c r="N69" s="116">
        <v>835231</v>
      </c>
      <c r="O69" s="114">
        <v>0</v>
      </c>
      <c r="P69" s="124">
        <f t="shared" si="7"/>
        <v>835231</v>
      </c>
      <c r="Q69" s="3">
        <v>9</v>
      </c>
      <c r="R69" s="3">
        <v>0</v>
      </c>
      <c r="S69" s="3">
        <f t="shared" si="8"/>
        <v>9</v>
      </c>
    </row>
    <row r="70" spans="1:19" x14ac:dyDescent="0.35">
      <c r="A70" s="125" t="s">
        <v>154</v>
      </c>
      <c r="E70" s="36" t="s">
        <v>135</v>
      </c>
      <c r="N70" s="116">
        <v>835231</v>
      </c>
      <c r="O70" s="114">
        <v>0</v>
      </c>
      <c r="P70" s="124">
        <f t="shared" si="7"/>
        <v>835231</v>
      </c>
      <c r="Q70" s="3">
        <v>9</v>
      </c>
      <c r="R70" s="3">
        <v>0</v>
      </c>
      <c r="S70" s="3">
        <f t="shared" si="8"/>
        <v>9</v>
      </c>
    </row>
    <row r="71" spans="1:19" x14ac:dyDescent="0.35">
      <c r="A71" s="125" t="s">
        <v>155</v>
      </c>
      <c r="E71" s="36" t="s">
        <v>135</v>
      </c>
      <c r="N71" s="116">
        <v>835231</v>
      </c>
      <c r="O71" s="114">
        <v>0</v>
      </c>
      <c r="P71" s="124">
        <f t="shared" si="7"/>
        <v>835231</v>
      </c>
      <c r="Q71" s="3">
        <v>9</v>
      </c>
      <c r="R71" s="3">
        <v>0</v>
      </c>
      <c r="S71" s="3">
        <f t="shared" si="8"/>
        <v>9</v>
      </c>
    </row>
    <row r="72" spans="1:19" x14ac:dyDescent="0.35">
      <c r="A72" s="117" t="s">
        <v>156</v>
      </c>
      <c r="J72" s="36" t="s">
        <v>135</v>
      </c>
      <c r="N72" s="116">
        <v>549613</v>
      </c>
      <c r="O72" s="114">
        <v>0</v>
      </c>
      <c r="P72" s="124">
        <f t="shared" si="7"/>
        <v>549613</v>
      </c>
      <c r="Q72" s="3">
        <v>3</v>
      </c>
      <c r="R72" s="3">
        <v>0</v>
      </c>
      <c r="S72" s="3">
        <f t="shared" si="8"/>
        <v>3</v>
      </c>
    </row>
    <row r="73" spans="1:19" x14ac:dyDescent="0.35">
      <c r="A73" s="117" t="s">
        <v>157</v>
      </c>
      <c r="J73" s="36" t="s">
        <v>135</v>
      </c>
      <c r="N73" s="116">
        <v>528469</v>
      </c>
      <c r="O73" s="114">
        <v>0</v>
      </c>
      <c r="P73" s="124">
        <f t="shared" si="7"/>
        <v>528469</v>
      </c>
      <c r="Q73" s="3">
        <v>3</v>
      </c>
      <c r="R73" s="3">
        <v>0</v>
      </c>
      <c r="S73" s="3">
        <f t="shared" si="8"/>
        <v>3</v>
      </c>
    </row>
    <row r="74" spans="1:19" ht="29" x14ac:dyDescent="0.35">
      <c r="A74" s="118" t="s">
        <v>158</v>
      </c>
      <c r="I74" s="36" t="s">
        <v>135</v>
      </c>
      <c r="N74" s="116">
        <v>500000</v>
      </c>
      <c r="O74" s="114">
        <v>0</v>
      </c>
      <c r="P74" s="124">
        <f t="shared" si="7"/>
        <v>500000</v>
      </c>
      <c r="Q74" s="3">
        <v>1</v>
      </c>
      <c r="R74" s="3">
        <v>0</v>
      </c>
      <c r="S74" s="3">
        <f t="shared" si="8"/>
        <v>1</v>
      </c>
    </row>
    <row r="75" spans="1:19" x14ac:dyDescent="0.35">
      <c r="A75" s="125" t="s">
        <v>159</v>
      </c>
      <c r="J75" s="36" t="s">
        <v>135</v>
      </c>
      <c r="N75" s="116">
        <v>410798</v>
      </c>
      <c r="O75" s="114">
        <v>0</v>
      </c>
      <c r="P75" s="124">
        <f t="shared" si="7"/>
        <v>410798</v>
      </c>
      <c r="Q75" s="3">
        <v>1</v>
      </c>
      <c r="R75" s="3">
        <v>0</v>
      </c>
      <c r="S75" s="3">
        <f t="shared" si="8"/>
        <v>1</v>
      </c>
    </row>
    <row r="76" spans="1:19" x14ac:dyDescent="0.35">
      <c r="A76" s="125" t="s">
        <v>160</v>
      </c>
      <c r="J76" s="36" t="s">
        <v>135</v>
      </c>
      <c r="N76" s="116">
        <v>410776</v>
      </c>
      <c r="O76" s="114">
        <v>0</v>
      </c>
      <c r="P76" s="124">
        <f t="shared" si="7"/>
        <v>410776</v>
      </c>
      <c r="Q76" s="3">
        <v>2</v>
      </c>
      <c r="R76" s="3">
        <v>0</v>
      </c>
      <c r="S76" s="3">
        <f t="shared" si="8"/>
        <v>2</v>
      </c>
    </row>
    <row r="77" spans="1:19" ht="28.5" x14ac:dyDescent="0.35">
      <c r="A77" s="125" t="s">
        <v>161</v>
      </c>
      <c r="J77" s="36" t="s">
        <v>135</v>
      </c>
      <c r="N77" s="116">
        <v>410776</v>
      </c>
      <c r="O77" s="114">
        <v>0</v>
      </c>
      <c r="P77" s="124">
        <f t="shared" si="7"/>
        <v>410776</v>
      </c>
      <c r="Q77" s="3">
        <v>2</v>
      </c>
      <c r="R77" s="3">
        <v>0</v>
      </c>
      <c r="S77" s="3">
        <f t="shared" si="8"/>
        <v>2</v>
      </c>
    </row>
    <row r="78" spans="1:19" ht="28.5" x14ac:dyDescent="0.35">
      <c r="A78" s="125" t="s">
        <v>162</v>
      </c>
      <c r="J78" s="36" t="s">
        <v>135</v>
      </c>
      <c r="N78" s="116">
        <v>410776</v>
      </c>
      <c r="O78" s="114">
        <v>0</v>
      </c>
      <c r="P78" s="124">
        <f t="shared" si="7"/>
        <v>410776</v>
      </c>
      <c r="Q78" s="3">
        <v>2</v>
      </c>
      <c r="R78" s="3">
        <v>0</v>
      </c>
      <c r="S78" s="3">
        <f t="shared" si="8"/>
        <v>2</v>
      </c>
    </row>
    <row r="79" spans="1:19" x14ac:dyDescent="0.35">
      <c r="A79" s="125" t="s">
        <v>163</v>
      </c>
      <c r="J79" s="36" t="s">
        <v>135</v>
      </c>
      <c r="N79" s="116">
        <v>374638</v>
      </c>
      <c r="O79" s="114">
        <v>0</v>
      </c>
      <c r="P79" s="124">
        <f t="shared" si="7"/>
        <v>374638</v>
      </c>
      <c r="Q79" s="3">
        <v>2</v>
      </c>
      <c r="R79" s="3">
        <v>0</v>
      </c>
      <c r="S79" s="3">
        <f t="shared" si="8"/>
        <v>2</v>
      </c>
    </row>
    <row r="80" spans="1:19" x14ac:dyDescent="0.35">
      <c r="A80" s="125" t="s">
        <v>164</v>
      </c>
      <c r="E80" s="36" t="s">
        <v>135</v>
      </c>
      <c r="J80" s="36" t="s">
        <v>135</v>
      </c>
      <c r="K80" s="36" t="s">
        <v>135</v>
      </c>
      <c r="N80" s="116">
        <v>352435</v>
      </c>
      <c r="O80" s="114">
        <v>0</v>
      </c>
      <c r="P80" s="124">
        <f t="shared" si="7"/>
        <v>352435</v>
      </c>
      <c r="Q80" s="3">
        <v>3</v>
      </c>
      <c r="R80" s="3">
        <v>0</v>
      </c>
      <c r="S80" s="3">
        <f t="shared" si="8"/>
        <v>3</v>
      </c>
    </row>
    <row r="81" spans="1:19" x14ac:dyDescent="0.35">
      <c r="A81" s="125" t="s">
        <v>165</v>
      </c>
      <c r="E81" s="36" t="s">
        <v>135</v>
      </c>
      <c r="N81" s="116">
        <v>338408</v>
      </c>
      <c r="O81" s="114">
        <v>0</v>
      </c>
      <c r="P81" s="124">
        <f t="shared" si="7"/>
        <v>338408</v>
      </c>
      <c r="Q81" s="3">
        <v>10</v>
      </c>
      <c r="R81" s="3">
        <v>0</v>
      </c>
      <c r="S81" s="3">
        <f t="shared" si="8"/>
        <v>10</v>
      </c>
    </row>
    <row r="82" spans="1:19" ht="28.5" x14ac:dyDescent="0.35">
      <c r="A82" s="125" t="s">
        <v>166</v>
      </c>
      <c r="J82" s="36" t="s">
        <v>135</v>
      </c>
      <c r="N82" s="116">
        <v>308099</v>
      </c>
      <c r="O82" s="114">
        <v>0</v>
      </c>
      <c r="P82" s="124">
        <f t="shared" si="7"/>
        <v>308099</v>
      </c>
      <c r="Q82" s="3">
        <v>1</v>
      </c>
      <c r="R82" s="3">
        <v>0</v>
      </c>
      <c r="S82" s="3">
        <f t="shared" si="8"/>
        <v>1</v>
      </c>
    </row>
    <row r="83" spans="1:19" x14ac:dyDescent="0.35">
      <c r="A83" s="125" t="s">
        <v>168</v>
      </c>
      <c r="J83" s="36" t="s">
        <v>135</v>
      </c>
      <c r="K83" s="36" t="s">
        <v>135</v>
      </c>
      <c r="N83" s="114">
        <v>281800</v>
      </c>
      <c r="O83" s="114">
        <v>0</v>
      </c>
      <c r="P83" s="124">
        <f t="shared" si="7"/>
        <v>281800</v>
      </c>
      <c r="Q83" s="3">
        <v>3</v>
      </c>
      <c r="R83" s="3">
        <v>0</v>
      </c>
      <c r="S83" s="3">
        <f t="shared" si="8"/>
        <v>3</v>
      </c>
    </row>
    <row r="84" spans="1:19" ht="28.5" x14ac:dyDescent="0.35">
      <c r="A84" s="125" t="s">
        <v>169</v>
      </c>
      <c r="J84" s="36" t="s">
        <v>135</v>
      </c>
      <c r="N84" s="114">
        <v>246647</v>
      </c>
      <c r="O84" s="114">
        <v>0</v>
      </c>
      <c r="P84" s="124">
        <f t="shared" si="7"/>
        <v>246647</v>
      </c>
      <c r="Q84" s="3">
        <v>3</v>
      </c>
      <c r="R84" s="3">
        <v>0</v>
      </c>
      <c r="S84" s="3">
        <f t="shared" si="8"/>
        <v>3</v>
      </c>
    </row>
    <row r="85" spans="1:19" x14ac:dyDescent="0.35">
      <c r="A85" s="125" t="s">
        <v>170</v>
      </c>
      <c r="E85" s="36" t="s">
        <v>135</v>
      </c>
      <c r="N85" s="116">
        <v>208808</v>
      </c>
      <c r="O85" s="114">
        <v>0</v>
      </c>
      <c r="P85" s="124">
        <f t="shared" si="7"/>
        <v>208808</v>
      </c>
      <c r="Q85" s="3">
        <v>9</v>
      </c>
      <c r="R85" s="3">
        <v>0</v>
      </c>
      <c r="S85" s="3">
        <f t="shared" si="8"/>
        <v>9</v>
      </c>
    </row>
    <row r="86" spans="1:19" x14ac:dyDescent="0.35">
      <c r="A86" s="125" t="s">
        <v>171</v>
      </c>
      <c r="E86" s="36" t="s">
        <v>135</v>
      </c>
      <c r="N86" s="116">
        <v>208808</v>
      </c>
      <c r="O86" s="114">
        <v>0</v>
      </c>
      <c r="P86" s="124">
        <f t="shared" si="7"/>
        <v>208808</v>
      </c>
      <c r="Q86" s="3">
        <v>9</v>
      </c>
      <c r="R86" s="3">
        <v>0</v>
      </c>
      <c r="S86" s="3">
        <f t="shared" si="8"/>
        <v>9</v>
      </c>
    </row>
    <row r="87" spans="1:19" x14ac:dyDescent="0.35">
      <c r="A87" s="125" t="s">
        <v>172</v>
      </c>
      <c r="E87" s="36" t="s">
        <v>135</v>
      </c>
      <c r="N87" s="116">
        <v>208808</v>
      </c>
      <c r="O87" s="114">
        <v>0</v>
      </c>
      <c r="P87" s="124">
        <f t="shared" si="7"/>
        <v>208808</v>
      </c>
      <c r="Q87" s="3">
        <v>9</v>
      </c>
      <c r="R87" s="3">
        <v>0</v>
      </c>
      <c r="S87" s="3">
        <f t="shared" si="8"/>
        <v>9</v>
      </c>
    </row>
    <row r="88" spans="1:19" x14ac:dyDescent="0.35">
      <c r="A88" s="125" t="s">
        <v>173</v>
      </c>
      <c r="E88" s="36" t="s">
        <v>135</v>
      </c>
      <c r="N88" s="116">
        <v>208808</v>
      </c>
      <c r="O88" s="114">
        <v>0</v>
      </c>
      <c r="P88" s="124">
        <f t="shared" si="7"/>
        <v>208808</v>
      </c>
      <c r="Q88" s="3">
        <v>9</v>
      </c>
      <c r="R88" s="3">
        <v>0</v>
      </c>
      <c r="S88" s="3">
        <f t="shared" si="8"/>
        <v>9</v>
      </c>
    </row>
    <row r="89" spans="1:19" ht="28.5" x14ac:dyDescent="0.35">
      <c r="A89" s="125" t="s">
        <v>174</v>
      </c>
      <c r="K89" s="36" t="s">
        <v>135</v>
      </c>
      <c r="N89" s="116">
        <v>170558</v>
      </c>
      <c r="O89" s="114">
        <v>0</v>
      </c>
      <c r="P89" s="124">
        <f t="shared" si="7"/>
        <v>170558</v>
      </c>
      <c r="Q89" s="3">
        <v>2</v>
      </c>
      <c r="R89" s="3">
        <v>0</v>
      </c>
      <c r="S89" s="3">
        <f t="shared" si="8"/>
        <v>2</v>
      </c>
    </row>
    <row r="90" spans="1:19" ht="28.5" x14ac:dyDescent="0.35">
      <c r="A90" s="125" t="s">
        <v>175</v>
      </c>
      <c r="K90" s="36" t="s">
        <v>135</v>
      </c>
      <c r="N90" s="116">
        <v>142000</v>
      </c>
      <c r="O90" s="114">
        <v>0</v>
      </c>
      <c r="P90" s="124">
        <f t="shared" si="7"/>
        <v>142000</v>
      </c>
      <c r="Q90" s="3">
        <v>2</v>
      </c>
      <c r="R90" s="3">
        <v>0</v>
      </c>
      <c r="S90" s="3">
        <f t="shared" si="8"/>
        <v>2</v>
      </c>
    </row>
    <row r="91" spans="1:19" x14ac:dyDescent="0.35">
      <c r="A91" s="125" t="s">
        <v>182</v>
      </c>
      <c r="J91" s="36" t="s">
        <v>135</v>
      </c>
      <c r="K91" s="36" t="s">
        <v>135</v>
      </c>
      <c r="N91" s="116">
        <v>132460</v>
      </c>
      <c r="O91" s="114">
        <v>0</v>
      </c>
      <c r="P91" s="124">
        <f t="shared" si="7"/>
        <v>132460</v>
      </c>
      <c r="Q91" s="3">
        <v>2</v>
      </c>
      <c r="R91" s="3">
        <v>0</v>
      </c>
      <c r="S91" s="3">
        <f t="shared" si="8"/>
        <v>2</v>
      </c>
    </row>
    <row r="92" spans="1:19" ht="28.5" x14ac:dyDescent="0.35">
      <c r="A92" s="125" t="s">
        <v>176</v>
      </c>
      <c r="J92" s="36" t="s">
        <v>135</v>
      </c>
      <c r="N92" s="116">
        <v>128349</v>
      </c>
      <c r="O92" s="114">
        <v>0</v>
      </c>
      <c r="P92" s="124">
        <f t="shared" si="7"/>
        <v>128349</v>
      </c>
      <c r="Q92" s="3">
        <v>1</v>
      </c>
      <c r="R92" s="3">
        <v>0</v>
      </c>
      <c r="S92" s="3">
        <f t="shared" si="8"/>
        <v>1</v>
      </c>
    </row>
    <row r="93" spans="1:19" x14ac:dyDescent="0.35">
      <c r="A93" s="125" t="s">
        <v>177</v>
      </c>
      <c r="E93" s="36" t="s">
        <v>135</v>
      </c>
      <c r="N93" s="116">
        <v>118005</v>
      </c>
      <c r="O93" s="114">
        <v>0</v>
      </c>
      <c r="P93" s="124">
        <f t="shared" si="7"/>
        <v>118005</v>
      </c>
      <c r="Q93" s="3">
        <v>3</v>
      </c>
      <c r="R93" s="3">
        <v>0</v>
      </c>
      <c r="S93" s="3">
        <f t="shared" si="8"/>
        <v>3</v>
      </c>
    </row>
    <row r="94" spans="1:19" x14ac:dyDescent="0.35">
      <c r="A94" s="125" t="s">
        <v>178</v>
      </c>
      <c r="J94" s="36" t="s">
        <v>135</v>
      </c>
      <c r="N94" s="116">
        <v>108414</v>
      </c>
      <c r="O94" s="114">
        <v>0</v>
      </c>
      <c r="P94" s="124">
        <f t="shared" si="7"/>
        <v>108414</v>
      </c>
      <c r="Q94" s="3">
        <v>1</v>
      </c>
      <c r="R94" s="3">
        <v>0</v>
      </c>
      <c r="S94" s="3">
        <f t="shared" si="8"/>
        <v>1</v>
      </c>
    </row>
    <row r="95" spans="1:19" ht="28.5" x14ac:dyDescent="0.35">
      <c r="A95" s="125" t="s">
        <v>179</v>
      </c>
      <c r="J95" s="36" t="s">
        <v>135</v>
      </c>
      <c r="N95" s="116">
        <v>102700</v>
      </c>
      <c r="O95" s="114">
        <v>0</v>
      </c>
      <c r="P95" s="124">
        <f t="shared" ref="P95:P115" si="9">SUM(N95:O95)</f>
        <v>102700</v>
      </c>
      <c r="Q95" s="3">
        <v>1</v>
      </c>
      <c r="R95" s="3">
        <v>0</v>
      </c>
      <c r="S95" s="3">
        <f t="shared" ref="S95:S115" si="10">SUM(Q95:R95)</f>
        <v>1</v>
      </c>
    </row>
    <row r="96" spans="1:19" x14ac:dyDescent="0.35">
      <c r="A96" s="125" t="s">
        <v>180</v>
      </c>
      <c r="J96" s="36" t="s">
        <v>135</v>
      </c>
      <c r="N96" s="116">
        <v>102700</v>
      </c>
      <c r="O96" s="114">
        <v>0</v>
      </c>
      <c r="P96" s="124">
        <f t="shared" si="9"/>
        <v>102700</v>
      </c>
      <c r="Q96" s="3">
        <v>1</v>
      </c>
      <c r="R96" s="3">
        <v>0</v>
      </c>
      <c r="S96" s="3">
        <f t="shared" si="10"/>
        <v>1</v>
      </c>
    </row>
    <row r="97" spans="1:19" x14ac:dyDescent="0.35">
      <c r="A97" s="125" t="s">
        <v>181</v>
      </c>
      <c r="J97" s="36" t="s">
        <v>135</v>
      </c>
      <c r="N97" s="116">
        <v>102700</v>
      </c>
      <c r="O97" s="114">
        <v>0</v>
      </c>
      <c r="P97" s="124">
        <f t="shared" si="9"/>
        <v>102700</v>
      </c>
      <c r="Q97" s="3">
        <v>1</v>
      </c>
      <c r="R97" s="3">
        <v>0</v>
      </c>
      <c r="S97" s="3">
        <f t="shared" si="10"/>
        <v>1</v>
      </c>
    </row>
    <row r="98" spans="1:19" ht="28.5" x14ac:dyDescent="0.35">
      <c r="A98" s="125" t="s">
        <v>183</v>
      </c>
      <c r="J98" s="36" t="s">
        <v>135</v>
      </c>
      <c r="N98" s="114">
        <v>93809</v>
      </c>
      <c r="O98" s="114">
        <v>0</v>
      </c>
      <c r="P98" s="124">
        <f t="shared" si="9"/>
        <v>93809</v>
      </c>
      <c r="Q98" s="3">
        <v>1</v>
      </c>
      <c r="R98" s="3">
        <v>0</v>
      </c>
      <c r="S98" s="3">
        <f t="shared" si="10"/>
        <v>1</v>
      </c>
    </row>
    <row r="99" spans="1:19" x14ac:dyDescent="0.35">
      <c r="A99" s="125" t="s">
        <v>184</v>
      </c>
      <c r="J99" s="36" t="s">
        <v>135</v>
      </c>
      <c r="N99" s="116">
        <v>87270</v>
      </c>
      <c r="O99" s="114">
        <v>0</v>
      </c>
      <c r="P99" s="124">
        <f t="shared" si="9"/>
        <v>87270</v>
      </c>
      <c r="Q99" s="3">
        <v>1</v>
      </c>
      <c r="R99" s="3">
        <v>0</v>
      </c>
      <c r="S99" s="3">
        <f t="shared" si="10"/>
        <v>1</v>
      </c>
    </row>
    <row r="100" spans="1:19" x14ac:dyDescent="0.35">
      <c r="A100" s="125" t="s">
        <v>185</v>
      </c>
      <c r="J100" s="36" t="s">
        <v>135</v>
      </c>
      <c r="N100" s="116">
        <v>87270</v>
      </c>
      <c r="O100" s="114">
        <v>0</v>
      </c>
      <c r="P100" s="124">
        <f t="shared" si="9"/>
        <v>87270</v>
      </c>
      <c r="Q100" s="3">
        <v>1</v>
      </c>
      <c r="R100" s="3">
        <v>0</v>
      </c>
      <c r="S100" s="3">
        <f t="shared" si="10"/>
        <v>1</v>
      </c>
    </row>
    <row r="101" spans="1:19" x14ac:dyDescent="0.35">
      <c r="A101" s="125" t="s">
        <v>186</v>
      </c>
      <c r="J101" s="36" t="s">
        <v>135</v>
      </c>
      <c r="N101" s="116">
        <v>87270</v>
      </c>
      <c r="O101" s="114">
        <v>0</v>
      </c>
      <c r="P101" s="124">
        <f t="shared" si="9"/>
        <v>87270</v>
      </c>
      <c r="Q101" s="3">
        <v>1</v>
      </c>
      <c r="R101" s="3">
        <v>0</v>
      </c>
      <c r="S101" s="3">
        <f t="shared" si="10"/>
        <v>1</v>
      </c>
    </row>
    <row r="102" spans="1:19" ht="42.5" x14ac:dyDescent="0.35">
      <c r="A102" s="125" t="s">
        <v>187</v>
      </c>
      <c r="K102" s="36" t="s">
        <v>135</v>
      </c>
      <c r="N102" s="116">
        <v>86800</v>
      </c>
      <c r="O102" s="114">
        <v>0</v>
      </c>
      <c r="P102" s="124">
        <f t="shared" si="9"/>
        <v>86800</v>
      </c>
      <c r="Q102" s="3">
        <v>1</v>
      </c>
      <c r="R102" s="3">
        <v>0</v>
      </c>
      <c r="S102" s="3">
        <f t="shared" si="10"/>
        <v>1</v>
      </c>
    </row>
    <row r="103" spans="1:19" x14ac:dyDescent="0.35">
      <c r="A103" s="125" t="s">
        <v>188</v>
      </c>
      <c r="J103" s="36" t="s">
        <v>135</v>
      </c>
      <c r="N103" s="116">
        <v>72276</v>
      </c>
      <c r="O103" s="114">
        <v>0</v>
      </c>
      <c r="P103" s="124">
        <f t="shared" si="9"/>
        <v>72276</v>
      </c>
      <c r="Q103" s="3">
        <v>1</v>
      </c>
      <c r="R103" s="3">
        <v>0</v>
      </c>
      <c r="S103" s="3">
        <f t="shared" si="10"/>
        <v>1</v>
      </c>
    </row>
    <row r="104" spans="1:19" ht="28.5" x14ac:dyDescent="0.35">
      <c r="A104" s="125" t="s">
        <v>189</v>
      </c>
      <c r="J104" s="36" t="s">
        <v>135</v>
      </c>
      <c r="K104" s="36" t="s">
        <v>135</v>
      </c>
      <c r="N104" s="116">
        <v>7500</v>
      </c>
      <c r="O104" s="114">
        <v>0</v>
      </c>
      <c r="P104" s="124">
        <f t="shared" si="9"/>
        <v>7500</v>
      </c>
      <c r="Q104" s="3">
        <v>3</v>
      </c>
      <c r="R104" s="3">
        <v>0</v>
      </c>
      <c r="S104" s="3">
        <f t="shared" si="10"/>
        <v>3</v>
      </c>
    </row>
    <row r="105" spans="1:19" x14ac:dyDescent="0.35">
      <c r="A105" s="125" t="s">
        <v>190</v>
      </c>
      <c r="E105" s="36" t="s">
        <v>135</v>
      </c>
      <c r="K105" s="36" t="s">
        <v>135</v>
      </c>
      <c r="N105" s="116">
        <v>60000</v>
      </c>
      <c r="O105" s="114">
        <v>0</v>
      </c>
      <c r="P105" s="124">
        <f t="shared" si="9"/>
        <v>60000</v>
      </c>
      <c r="Q105" s="3">
        <v>1</v>
      </c>
      <c r="R105" s="3">
        <v>0</v>
      </c>
      <c r="S105" s="3">
        <f t="shared" si="10"/>
        <v>1</v>
      </c>
    </row>
    <row r="106" spans="1:19" ht="28.5" x14ac:dyDescent="0.35">
      <c r="A106" s="125" t="s">
        <v>191</v>
      </c>
      <c r="J106" s="36" t="s">
        <v>135</v>
      </c>
      <c r="N106" s="116">
        <v>41080</v>
      </c>
      <c r="O106" s="114">
        <v>0</v>
      </c>
      <c r="P106" s="124">
        <f t="shared" si="9"/>
        <v>41080</v>
      </c>
      <c r="Q106" s="3">
        <v>1</v>
      </c>
      <c r="R106" s="3">
        <v>0</v>
      </c>
      <c r="S106" s="3">
        <f t="shared" si="10"/>
        <v>1</v>
      </c>
    </row>
    <row r="107" spans="1:19" x14ac:dyDescent="0.35">
      <c r="A107" s="125" t="s">
        <v>192</v>
      </c>
      <c r="J107" s="36" t="s">
        <v>135</v>
      </c>
      <c r="N107" s="116">
        <v>41080</v>
      </c>
      <c r="O107" s="114">
        <v>0</v>
      </c>
      <c r="P107" s="124">
        <f t="shared" si="9"/>
        <v>41080</v>
      </c>
      <c r="Q107" s="3">
        <v>1</v>
      </c>
      <c r="R107" s="3">
        <v>0</v>
      </c>
      <c r="S107" s="3">
        <f t="shared" si="10"/>
        <v>1</v>
      </c>
    </row>
    <row r="108" spans="1:19" x14ac:dyDescent="0.35">
      <c r="A108" s="125" t="s">
        <v>193</v>
      </c>
      <c r="J108" s="36" t="s">
        <v>135</v>
      </c>
      <c r="N108" s="116">
        <v>41080</v>
      </c>
      <c r="O108" s="114">
        <v>0</v>
      </c>
      <c r="P108" s="124">
        <f t="shared" si="9"/>
        <v>41080</v>
      </c>
      <c r="Q108" s="3">
        <v>1</v>
      </c>
      <c r="R108" s="3">
        <v>0</v>
      </c>
      <c r="S108" s="3">
        <f t="shared" si="10"/>
        <v>1</v>
      </c>
    </row>
    <row r="109" spans="1:19" x14ac:dyDescent="0.35">
      <c r="A109" s="125" t="s">
        <v>194</v>
      </c>
      <c r="J109" s="36" t="s">
        <v>135</v>
      </c>
      <c r="N109" s="116">
        <v>41080</v>
      </c>
      <c r="O109" s="114">
        <v>0</v>
      </c>
      <c r="P109" s="124">
        <f t="shared" si="9"/>
        <v>41080</v>
      </c>
      <c r="Q109" s="3">
        <v>1</v>
      </c>
      <c r="R109" s="3">
        <v>0</v>
      </c>
      <c r="S109" s="3">
        <f t="shared" si="10"/>
        <v>1</v>
      </c>
    </row>
    <row r="110" spans="1:19" x14ac:dyDescent="0.35">
      <c r="A110" s="125" t="s">
        <v>195</v>
      </c>
      <c r="J110" s="36" t="s">
        <v>135</v>
      </c>
      <c r="N110" s="116">
        <v>41080</v>
      </c>
      <c r="O110" s="114">
        <v>0</v>
      </c>
      <c r="P110" s="124">
        <f t="shared" si="9"/>
        <v>41080</v>
      </c>
      <c r="Q110" s="3">
        <v>1</v>
      </c>
      <c r="R110" s="3">
        <v>0</v>
      </c>
      <c r="S110" s="3">
        <f t="shared" si="10"/>
        <v>1</v>
      </c>
    </row>
    <row r="111" spans="1:19" x14ac:dyDescent="0.35">
      <c r="A111" s="125" t="s">
        <v>196</v>
      </c>
      <c r="J111" s="36" t="s">
        <v>135</v>
      </c>
      <c r="N111" s="116">
        <v>41080</v>
      </c>
      <c r="O111" s="114">
        <v>0</v>
      </c>
      <c r="P111" s="124">
        <f t="shared" si="9"/>
        <v>41080</v>
      </c>
      <c r="Q111" s="3">
        <v>1</v>
      </c>
      <c r="R111" s="3">
        <v>0</v>
      </c>
      <c r="S111" s="3">
        <f t="shared" si="10"/>
        <v>1</v>
      </c>
    </row>
    <row r="112" spans="1:19" x14ac:dyDescent="0.35">
      <c r="A112" s="125" t="s">
        <v>197</v>
      </c>
      <c r="J112" s="36" t="s">
        <v>135</v>
      </c>
      <c r="N112" s="116">
        <v>41080</v>
      </c>
      <c r="O112" s="114">
        <v>0</v>
      </c>
      <c r="P112" s="124">
        <f t="shared" si="9"/>
        <v>41080</v>
      </c>
      <c r="Q112" s="3">
        <v>1</v>
      </c>
      <c r="R112" s="3">
        <v>0</v>
      </c>
      <c r="S112" s="3">
        <f t="shared" si="10"/>
        <v>1</v>
      </c>
    </row>
    <row r="113" spans="1:19" ht="28.5" x14ac:dyDescent="0.35">
      <c r="A113" s="125" t="s">
        <v>198</v>
      </c>
      <c r="K113" s="36" t="s">
        <v>135</v>
      </c>
      <c r="N113" s="116">
        <v>29760</v>
      </c>
      <c r="O113" s="114">
        <v>0</v>
      </c>
      <c r="P113" s="124">
        <f t="shared" si="9"/>
        <v>29760</v>
      </c>
      <c r="Q113" s="3">
        <v>1</v>
      </c>
      <c r="R113" s="3">
        <v>0</v>
      </c>
      <c r="S113" s="3">
        <f t="shared" si="10"/>
        <v>1</v>
      </c>
    </row>
    <row r="114" spans="1:19" x14ac:dyDescent="0.35">
      <c r="A114" s="125" t="s">
        <v>199</v>
      </c>
      <c r="J114" s="36" t="s">
        <v>135</v>
      </c>
      <c r="N114" s="114">
        <v>27339</v>
      </c>
      <c r="O114" s="114">
        <v>0</v>
      </c>
      <c r="P114" s="124">
        <f t="shared" si="9"/>
        <v>27339</v>
      </c>
      <c r="Q114" s="3">
        <v>1</v>
      </c>
      <c r="R114" s="3">
        <v>0</v>
      </c>
      <c r="S114" s="3">
        <f t="shared" si="10"/>
        <v>1</v>
      </c>
    </row>
    <row r="115" spans="1:19" x14ac:dyDescent="0.35">
      <c r="A115" s="125" t="s">
        <v>200</v>
      </c>
      <c r="E115" s="36" t="s">
        <v>135</v>
      </c>
      <c r="N115" s="114">
        <v>20930</v>
      </c>
      <c r="O115" s="114">
        <v>0</v>
      </c>
      <c r="P115" s="124">
        <f t="shared" si="9"/>
        <v>20930</v>
      </c>
      <c r="Q115" s="3">
        <v>1</v>
      </c>
      <c r="R115" s="3">
        <v>0</v>
      </c>
      <c r="S115" s="3">
        <f t="shared" si="10"/>
        <v>1</v>
      </c>
    </row>
  </sheetData>
  <autoFilter ref="A2:Z22" xr:uid="{8060A239-2CFA-4A04-BD22-E8DE9BCA6DE3}">
    <sortState xmlns:xlrd2="http://schemas.microsoft.com/office/spreadsheetml/2017/richdata2" ref="A3:Z27">
      <sortCondition descending="1" ref="Y2:Y22"/>
    </sortState>
  </autoFilter>
  <mergeCells count="3">
    <mergeCell ref="B1:D1"/>
    <mergeCell ref="V1:Y1"/>
    <mergeCell ref="E1:S1"/>
  </mergeCells>
  <printOptions horizontalCentered="1"/>
  <pageMargins left="0.45" right="0.45" top="0.5" bottom="0.5" header="0.3" footer="0.3"/>
  <pageSetup scale="75" fitToHeight="0" orientation="landscape" r:id="rId1"/>
  <headerFooter>
    <oddFooter>&amp;Z&amp;F</oddFooter>
  </headerFooter>
  <ignoredErrors>
    <ignoredError sqref="W12 W21" formula="1"/>
  </ignoredError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BDF5E69-D5A9-4F85-BB83-AF8F436B8956}">
          <x14:formula1>
            <xm:f>Rubric!$G$11:$G$15</xm:f>
          </x14:formula1>
          <xm:sqref>U3:U27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83CDF-39A2-4E6A-BAD6-8788FA6A328D}">
  <dimension ref="A1:K15"/>
  <sheetViews>
    <sheetView zoomScaleNormal="100" workbookViewId="0">
      <selection activeCell="H18" sqref="H18"/>
    </sheetView>
  </sheetViews>
  <sheetFormatPr defaultRowHeight="14.5" x14ac:dyDescent="0.35"/>
  <cols>
    <col min="1" max="1" width="6.26953125" customWidth="1"/>
    <col min="2" max="2" width="29.7265625" style="1" customWidth="1"/>
    <col min="3" max="3" width="3.7265625" customWidth="1"/>
    <col min="4" max="4" width="6.26953125" customWidth="1"/>
    <col min="5" max="5" width="32.453125" customWidth="1"/>
    <col min="6" max="6" width="3.7265625" customWidth="1"/>
    <col min="7" max="7" width="6.26953125" customWidth="1"/>
    <col min="8" max="8" width="36.1796875" customWidth="1"/>
    <col min="9" max="9" width="35.1796875" customWidth="1"/>
    <col min="10" max="10" width="6.26953125" customWidth="1"/>
    <col min="11" max="11" width="36.1796875" customWidth="1"/>
  </cols>
  <sheetData>
    <row r="1" spans="1:11" s="16" customFormat="1" ht="26.25" customHeight="1" x14ac:dyDescent="0.35">
      <c r="A1" s="34" t="s">
        <v>8</v>
      </c>
      <c r="B1" s="17"/>
      <c r="D1" s="35"/>
      <c r="G1" s="35"/>
      <c r="J1" s="35"/>
    </row>
    <row r="2" spans="1:11" s="32" customFormat="1" ht="27" customHeight="1" x14ac:dyDescent="0.35">
      <c r="B2" s="33" t="s">
        <v>57</v>
      </c>
      <c r="E2" s="33" t="s">
        <v>57</v>
      </c>
      <c r="H2" s="33" t="s">
        <v>57</v>
      </c>
    </row>
    <row r="3" spans="1:11" s="22" customFormat="1" ht="29" x14ac:dyDescent="0.35">
      <c r="A3" s="20"/>
      <c r="B3" s="21" t="s">
        <v>29</v>
      </c>
      <c r="C3" s="23"/>
      <c r="D3" s="20"/>
      <c r="E3" s="21" t="s">
        <v>10</v>
      </c>
      <c r="F3" s="23"/>
      <c r="G3" s="20"/>
      <c r="H3" s="20" t="s">
        <v>1</v>
      </c>
      <c r="I3" s="30"/>
      <c r="J3" s="30"/>
      <c r="K3" s="30"/>
    </row>
    <row r="4" spans="1:11" ht="46.5" customHeight="1" x14ac:dyDescent="0.35">
      <c r="A4" s="2">
        <v>5</v>
      </c>
      <c r="B4" s="19" t="s">
        <v>30</v>
      </c>
      <c r="C4" s="18"/>
      <c r="D4" s="2">
        <v>5</v>
      </c>
      <c r="E4" s="19" t="s">
        <v>62</v>
      </c>
      <c r="F4" s="18"/>
      <c r="G4" s="2">
        <v>5</v>
      </c>
      <c r="H4" s="19" t="s">
        <v>94</v>
      </c>
      <c r="I4" s="18"/>
      <c r="J4" s="18"/>
      <c r="K4" s="31"/>
    </row>
    <row r="5" spans="1:11" ht="29" x14ac:dyDescent="0.35">
      <c r="A5" s="2">
        <v>4</v>
      </c>
      <c r="B5" s="19" t="s">
        <v>35</v>
      </c>
      <c r="C5" s="18"/>
      <c r="D5" s="2">
        <v>4</v>
      </c>
      <c r="E5" s="19" t="s">
        <v>61</v>
      </c>
      <c r="F5" s="18"/>
      <c r="G5" s="2">
        <v>4</v>
      </c>
      <c r="H5" s="19" t="s">
        <v>95</v>
      </c>
      <c r="I5" s="18"/>
      <c r="J5" s="18"/>
      <c r="K5" s="31"/>
    </row>
    <row r="6" spans="1:11" ht="43.5" x14ac:dyDescent="0.35">
      <c r="A6" s="2">
        <v>3</v>
      </c>
      <c r="B6" s="19" t="s">
        <v>34</v>
      </c>
      <c r="C6" s="18"/>
      <c r="D6" s="2">
        <v>3</v>
      </c>
      <c r="E6" s="19" t="s">
        <v>60</v>
      </c>
      <c r="F6" s="18"/>
      <c r="G6" s="2">
        <v>3</v>
      </c>
      <c r="H6" s="19" t="s">
        <v>91</v>
      </c>
      <c r="I6" s="18"/>
      <c r="J6" s="18"/>
      <c r="K6" s="31"/>
    </row>
    <row r="7" spans="1:11" ht="29" x14ac:dyDescent="0.35">
      <c r="A7" s="2">
        <v>2</v>
      </c>
      <c r="B7" s="19" t="s">
        <v>27</v>
      </c>
      <c r="C7" s="18"/>
      <c r="D7" s="2">
        <v>2</v>
      </c>
      <c r="E7" s="19" t="s">
        <v>59</v>
      </c>
      <c r="F7" s="18"/>
      <c r="G7" s="2">
        <v>2</v>
      </c>
      <c r="H7" s="19" t="s">
        <v>92</v>
      </c>
      <c r="I7" s="18"/>
      <c r="J7" s="18"/>
      <c r="K7" s="31"/>
    </row>
    <row r="8" spans="1:11" ht="29" x14ac:dyDescent="0.35">
      <c r="A8" s="2">
        <v>1</v>
      </c>
      <c r="B8" s="19" t="s">
        <v>26</v>
      </c>
      <c r="C8" s="18"/>
      <c r="D8" s="2">
        <v>1</v>
      </c>
      <c r="E8" s="19" t="s">
        <v>58</v>
      </c>
      <c r="F8" s="18"/>
      <c r="G8" s="2">
        <v>1</v>
      </c>
      <c r="H8" s="19" t="s">
        <v>93</v>
      </c>
      <c r="I8" s="18"/>
      <c r="J8" s="18"/>
      <c r="K8" s="31"/>
    </row>
    <row r="10" spans="1:11" x14ac:dyDescent="0.35">
      <c r="G10" s="140" t="s">
        <v>96</v>
      </c>
      <c r="H10" s="140"/>
      <c r="I10" s="71"/>
    </row>
    <row r="11" spans="1:11" x14ac:dyDescent="0.35">
      <c r="G11">
        <v>1</v>
      </c>
      <c r="H11" t="s">
        <v>101</v>
      </c>
    </row>
    <row r="12" spans="1:11" x14ac:dyDescent="0.35">
      <c r="G12">
        <v>2</v>
      </c>
      <c r="H12" t="s">
        <v>98</v>
      </c>
    </row>
    <row r="13" spans="1:11" x14ac:dyDescent="0.35">
      <c r="G13">
        <v>3</v>
      </c>
      <c r="H13" t="s">
        <v>99</v>
      </c>
    </row>
    <row r="14" spans="1:11" x14ac:dyDescent="0.35">
      <c r="G14">
        <v>4</v>
      </c>
      <c r="H14" t="s">
        <v>97</v>
      </c>
    </row>
    <row r="15" spans="1:11" x14ac:dyDescent="0.35">
      <c r="G15">
        <v>5</v>
      </c>
      <c r="H15" t="s">
        <v>100</v>
      </c>
    </row>
  </sheetData>
  <mergeCells count="1">
    <mergeCell ref="G10:H10"/>
  </mergeCells>
  <pageMargins left="0.2" right="0.2" top="0.5" bottom="0.5" header="0.3" footer="0.3"/>
  <pageSetup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110F8-FE8F-498A-AF81-12C1960FDB72}">
  <dimension ref="A1:AX115"/>
  <sheetViews>
    <sheetView topLeftCell="H1" zoomScaleNormal="100" workbookViewId="0">
      <pane ySplit="2" topLeftCell="A3" activePane="bottomLeft" state="frozen"/>
      <selection pane="bottomLeft" activeCell="Q3" sqref="Q3"/>
    </sheetView>
  </sheetViews>
  <sheetFormatPr defaultColWidth="9.1796875" defaultRowHeight="15.5" x14ac:dyDescent="0.35"/>
  <cols>
    <col min="1" max="1" width="35.26953125" style="4" customWidth="1"/>
    <col min="2" max="3" width="12.453125" style="36" customWidth="1"/>
    <col min="4" max="4" width="12.81640625" style="3" customWidth="1"/>
    <col min="5" max="5" width="10" style="3" customWidth="1"/>
    <col min="6" max="9" width="11" style="3" customWidth="1"/>
    <col min="10" max="11" width="11.81640625" style="3" customWidth="1"/>
    <col min="12" max="13" width="11.7265625" style="3" customWidth="1"/>
    <col min="14" max="14" width="12.7265625" style="3" customWidth="1"/>
    <col min="15" max="15" width="13.1796875" style="3" customWidth="1"/>
    <col min="16" max="19" width="14.81640625" style="3" customWidth="1"/>
    <col min="20" max="20" width="18.453125" style="24" customWidth="1"/>
    <col min="21" max="21" width="26.54296875" style="24" customWidth="1"/>
    <col min="22" max="23" width="9.7265625" style="3" customWidth="1"/>
    <col min="24" max="25" width="11.81640625" style="3" customWidth="1"/>
    <col min="26" max="26" width="16.1796875" style="3" customWidth="1"/>
    <col min="27" max="27" width="10.1796875" style="4" customWidth="1"/>
    <col min="28" max="28" width="11.26953125" style="4" bestFit="1" customWidth="1"/>
    <col min="29" max="16384" width="9.1796875" style="4"/>
  </cols>
  <sheetData>
    <row r="1" spans="1:30" s="28" customFormat="1" ht="26.25" customHeight="1" thickBot="1" x14ac:dyDescent="0.4">
      <c r="A1" s="60"/>
      <c r="B1" s="137" t="s">
        <v>37</v>
      </c>
      <c r="C1" s="138"/>
      <c r="D1" s="139"/>
      <c r="E1" s="137" t="s">
        <v>33</v>
      </c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9"/>
      <c r="T1" s="41" t="s">
        <v>38</v>
      </c>
      <c r="U1" s="42" t="s">
        <v>1</v>
      </c>
      <c r="V1" s="137" t="s">
        <v>22</v>
      </c>
      <c r="W1" s="138"/>
      <c r="X1" s="138"/>
      <c r="Y1" s="139"/>
      <c r="AA1" s="46"/>
    </row>
    <row r="2" spans="1:30" s="6" customFormat="1" ht="61.5" customHeight="1" x14ac:dyDescent="0.4">
      <c r="A2" s="5" t="s">
        <v>0</v>
      </c>
      <c r="B2" s="9" t="s">
        <v>52</v>
      </c>
      <c r="C2" s="9" t="s">
        <v>53</v>
      </c>
      <c r="D2" s="9" t="s">
        <v>25</v>
      </c>
      <c r="E2" s="9" t="s">
        <v>54</v>
      </c>
      <c r="F2" s="9" t="s">
        <v>104</v>
      </c>
      <c r="G2" s="9" t="s">
        <v>105</v>
      </c>
      <c r="H2" s="9" t="s">
        <v>106</v>
      </c>
      <c r="I2" s="9" t="s">
        <v>201</v>
      </c>
      <c r="J2" s="9" t="s">
        <v>55</v>
      </c>
      <c r="K2" s="11" t="s">
        <v>56</v>
      </c>
      <c r="L2" s="11" t="s">
        <v>19</v>
      </c>
      <c r="M2" s="11" t="s">
        <v>103</v>
      </c>
      <c r="N2" s="11" t="s">
        <v>107</v>
      </c>
      <c r="O2" s="11" t="s">
        <v>108</v>
      </c>
      <c r="P2" s="11" t="s">
        <v>111</v>
      </c>
      <c r="Q2" s="11" t="s">
        <v>109</v>
      </c>
      <c r="R2" s="11" t="s">
        <v>110</v>
      </c>
      <c r="S2" s="11" t="s">
        <v>112</v>
      </c>
      <c r="T2" s="40" t="s">
        <v>102</v>
      </c>
      <c r="U2" s="40" t="s">
        <v>202</v>
      </c>
      <c r="V2" s="12" t="s">
        <v>31</v>
      </c>
      <c r="W2" s="12" t="s">
        <v>32</v>
      </c>
      <c r="X2" s="12" t="s">
        <v>1</v>
      </c>
      <c r="Y2" s="12" t="s">
        <v>2</v>
      </c>
      <c r="Z2" s="43" t="s">
        <v>63</v>
      </c>
      <c r="AA2" s="47"/>
      <c r="AB2" s="7"/>
    </row>
    <row r="3" spans="1:30" s="7" customFormat="1" ht="27" customHeight="1" x14ac:dyDescent="0.4">
      <c r="A3" s="48" t="s">
        <v>64</v>
      </c>
      <c r="B3" s="55" t="s">
        <v>23</v>
      </c>
      <c r="C3" s="39"/>
      <c r="D3" s="39" t="s">
        <v>23</v>
      </c>
      <c r="E3" s="39" t="s">
        <v>23</v>
      </c>
      <c r="F3" s="39" t="s">
        <v>23</v>
      </c>
      <c r="G3" s="39"/>
      <c r="H3" s="39"/>
      <c r="I3" s="39"/>
      <c r="J3" s="39" t="s">
        <v>23</v>
      </c>
      <c r="K3" s="39" t="s">
        <v>23</v>
      </c>
      <c r="L3" s="50"/>
      <c r="M3" s="50"/>
      <c r="N3" s="119">
        <v>7377347</v>
      </c>
      <c r="O3" s="119">
        <v>11927658</v>
      </c>
      <c r="P3" s="119">
        <f t="shared" ref="P3:P27" si="0">SUM(N3:O3)</f>
        <v>19305005</v>
      </c>
      <c r="Q3" s="106">
        <v>28</v>
      </c>
      <c r="R3" s="106">
        <f>4+5</f>
        <v>9</v>
      </c>
      <c r="S3" s="104">
        <f t="shared" ref="S3:S27" si="1">SUM(Q3:R3)</f>
        <v>37</v>
      </c>
      <c r="T3" s="77">
        <v>1132000</v>
      </c>
      <c r="U3" s="72">
        <v>5</v>
      </c>
      <c r="V3" s="14" t="str">
        <f>IF(S3&gt;15,"5",IF(S3&gt;=11,"4",IF(S3&gt;=6,"3",IF(S3&gt;=1,"2",IF(S3&gt;-1,"1","-")))))</f>
        <v>5</v>
      </c>
      <c r="W3" s="14" t="str">
        <f t="shared" ref="W3:W11" si="2">IF(T3&gt;1000000,"5",IF(T3&gt;500000,"4",IF(T3&gt;300000,"3",IF(T3&gt;100000,"2",IF(T3&gt;0,"1","-")))))</f>
        <v>5</v>
      </c>
      <c r="X3" s="14" t="str">
        <f>IF(U3=1,"5",IF(U3=2,"4",IF(U3=3,"3",IF(U3=4,"2",IF(U3=5,"1","-")))))</f>
        <v>1</v>
      </c>
      <c r="Y3" s="15">
        <f>IFERROR(V3+W3+X3, "-")</f>
        <v>11</v>
      </c>
      <c r="Z3" s="50"/>
    </row>
    <row r="4" spans="1:30" s="7" customFormat="1" ht="27" customHeight="1" x14ac:dyDescent="0.35">
      <c r="A4" s="56" t="s">
        <v>16</v>
      </c>
      <c r="B4" s="37" t="s">
        <v>23</v>
      </c>
      <c r="C4" s="37"/>
      <c r="D4" s="13" t="s">
        <v>23</v>
      </c>
      <c r="E4" s="13" t="s">
        <v>23</v>
      </c>
      <c r="F4" s="13"/>
      <c r="G4" s="13"/>
      <c r="H4" s="13"/>
      <c r="I4" s="13"/>
      <c r="J4" s="13"/>
      <c r="K4" s="13"/>
      <c r="L4" s="25"/>
      <c r="M4" s="25"/>
      <c r="N4" s="119">
        <v>12962225</v>
      </c>
      <c r="O4" s="119">
        <f>7789650+325500+72720+95600</f>
        <v>8283470</v>
      </c>
      <c r="P4" s="119">
        <f t="shared" si="0"/>
        <v>21245695</v>
      </c>
      <c r="Q4" s="107">
        <v>12</v>
      </c>
      <c r="R4" s="107">
        <f>2+1</f>
        <v>3</v>
      </c>
      <c r="S4" s="105">
        <f t="shared" si="1"/>
        <v>15</v>
      </c>
      <c r="T4" s="77">
        <v>696000</v>
      </c>
      <c r="U4" s="73">
        <v>3</v>
      </c>
      <c r="V4" s="14" t="str">
        <f t="shared" ref="V4:V27" si="3">IF(S4&gt;15,"5",IF(S4&gt;=11,"4",IF(S4&gt;=6,"3",IF(S4&gt;=1,"2",IF(S4&gt;-1,"1","-")))))</f>
        <v>4</v>
      </c>
      <c r="W4" s="14" t="str">
        <f t="shared" si="2"/>
        <v>4</v>
      </c>
      <c r="X4" s="14" t="str">
        <f t="shared" ref="X4:X27" si="4">IF(U4=1,"5",IF(U4=2,"4",IF(U4=3,"3",IF(U4=4,"2",IF(U4=5,"1","-")))))</f>
        <v>3</v>
      </c>
      <c r="Y4" s="15">
        <f t="shared" ref="Y4:Y27" si="5">IFERROR(V4+W4+X4, "-")</f>
        <v>11</v>
      </c>
      <c r="Z4" s="44"/>
      <c r="AA4" s="29"/>
    </row>
    <row r="5" spans="1:30" s="7" customFormat="1" ht="27" customHeight="1" x14ac:dyDescent="0.35">
      <c r="A5" s="57" t="s">
        <v>65</v>
      </c>
      <c r="B5" s="39" t="s">
        <v>23</v>
      </c>
      <c r="C5" s="39"/>
      <c r="D5" s="13" t="s">
        <v>23</v>
      </c>
      <c r="E5" s="15" t="s">
        <v>23</v>
      </c>
      <c r="F5" s="15"/>
      <c r="G5" s="15"/>
      <c r="H5" s="15"/>
      <c r="I5" s="15"/>
      <c r="J5" s="15" t="s">
        <v>23</v>
      </c>
      <c r="K5" s="15" t="s">
        <v>23</v>
      </c>
      <c r="L5" s="26"/>
      <c r="M5" s="26"/>
      <c r="N5" s="119">
        <v>6395368</v>
      </c>
      <c r="O5" s="119">
        <v>301294</v>
      </c>
      <c r="P5" s="119">
        <f t="shared" si="0"/>
        <v>6696662</v>
      </c>
      <c r="Q5" s="107">
        <v>17</v>
      </c>
      <c r="R5" s="107">
        <v>3</v>
      </c>
      <c r="S5" s="105">
        <f t="shared" si="1"/>
        <v>20</v>
      </c>
      <c r="T5" s="77">
        <v>324000</v>
      </c>
      <c r="U5" s="74">
        <v>5</v>
      </c>
      <c r="V5" s="14" t="str">
        <f t="shared" si="3"/>
        <v>5</v>
      </c>
      <c r="W5" s="14" t="str">
        <f t="shared" si="2"/>
        <v>3</v>
      </c>
      <c r="X5" s="14" t="str">
        <f t="shared" si="4"/>
        <v>1</v>
      </c>
      <c r="Y5" s="15">
        <f t="shared" si="5"/>
        <v>9</v>
      </c>
      <c r="Z5" s="45"/>
    </row>
    <row r="6" spans="1:30" s="7" customFormat="1" ht="27" customHeight="1" x14ac:dyDescent="0.35">
      <c r="A6" s="58" t="s">
        <v>4</v>
      </c>
      <c r="B6" s="38" t="s">
        <v>23</v>
      </c>
      <c r="C6" s="38"/>
      <c r="D6" s="13" t="s">
        <v>23</v>
      </c>
      <c r="E6" s="13" t="s">
        <v>23</v>
      </c>
      <c r="F6" s="13" t="s">
        <v>23</v>
      </c>
      <c r="G6" s="13" t="s">
        <v>23</v>
      </c>
      <c r="H6" s="13" t="s">
        <v>23</v>
      </c>
      <c r="I6" s="13"/>
      <c r="J6" s="13" t="s">
        <v>23</v>
      </c>
      <c r="K6" s="13" t="s">
        <v>23</v>
      </c>
      <c r="L6" s="25" t="s">
        <v>9</v>
      </c>
      <c r="M6" s="13" t="s">
        <v>23</v>
      </c>
      <c r="N6" s="119">
        <v>7727780</v>
      </c>
      <c r="O6" s="119">
        <v>12518747</v>
      </c>
      <c r="P6" s="119">
        <f t="shared" si="0"/>
        <v>20246527</v>
      </c>
      <c r="Q6" s="107">
        <v>29</v>
      </c>
      <c r="R6" s="107">
        <v>8</v>
      </c>
      <c r="S6" s="105">
        <f t="shared" si="1"/>
        <v>37</v>
      </c>
      <c r="T6" s="77">
        <v>781000</v>
      </c>
      <c r="U6" s="75">
        <v>4</v>
      </c>
      <c r="V6" s="14" t="str">
        <f t="shared" si="3"/>
        <v>5</v>
      </c>
      <c r="W6" s="14" t="str">
        <f t="shared" si="2"/>
        <v>4</v>
      </c>
      <c r="X6" s="14" t="str">
        <f t="shared" si="4"/>
        <v>2</v>
      </c>
      <c r="Y6" s="15">
        <f t="shared" si="5"/>
        <v>11</v>
      </c>
      <c r="Z6" s="44"/>
    </row>
    <row r="7" spans="1:30" s="7" customFormat="1" ht="27" customHeight="1" x14ac:dyDescent="0.35">
      <c r="A7" s="58" t="s">
        <v>12</v>
      </c>
      <c r="B7" s="38" t="s">
        <v>23</v>
      </c>
      <c r="C7" s="38"/>
      <c r="D7" s="13" t="s">
        <v>23</v>
      </c>
      <c r="E7" s="13"/>
      <c r="F7" s="13"/>
      <c r="G7" s="13"/>
      <c r="H7" s="13"/>
      <c r="I7" s="13"/>
      <c r="J7" s="13" t="s">
        <v>23</v>
      </c>
      <c r="K7" s="13" t="s">
        <v>23</v>
      </c>
      <c r="L7" s="25"/>
      <c r="M7" s="25"/>
      <c r="N7" s="119">
        <v>772693</v>
      </c>
      <c r="O7" s="119">
        <v>1300000</v>
      </c>
      <c r="P7" s="119">
        <f t="shared" si="0"/>
        <v>2072693</v>
      </c>
      <c r="Q7" s="107">
        <v>3</v>
      </c>
      <c r="R7" s="107">
        <v>1</v>
      </c>
      <c r="S7" s="105">
        <f t="shared" si="1"/>
        <v>4</v>
      </c>
      <c r="T7" s="77">
        <v>907000</v>
      </c>
      <c r="U7" s="74">
        <v>5</v>
      </c>
      <c r="V7" s="14" t="str">
        <f t="shared" si="3"/>
        <v>2</v>
      </c>
      <c r="W7" s="14" t="str">
        <f t="shared" si="2"/>
        <v>4</v>
      </c>
      <c r="X7" s="14" t="str">
        <f t="shared" si="4"/>
        <v>1</v>
      </c>
      <c r="Y7" s="15">
        <f t="shared" si="5"/>
        <v>7</v>
      </c>
      <c r="Z7" s="44"/>
    </row>
    <row r="8" spans="1:30" s="7" customFormat="1" ht="27" customHeight="1" x14ac:dyDescent="0.35">
      <c r="A8" s="59" t="s">
        <v>3</v>
      </c>
      <c r="B8" s="27" t="s">
        <v>23</v>
      </c>
      <c r="C8" s="27"/>
      <c r="D8" s="13" t="s">
        <v>23</v>
      </c>
      <c r="E8" s="13" t="s">
        <v>23</v>
      </c>
      <c r="F8" s="13" t="s">
        <v>23</v>
      </c>
      <c r="G8" s="13"/>
      <c r="H8" s="13"/>
      <c r="I8" s="13"/>
      <c r="J8" s="13" t="s">
        <v>23</v>
      </c>
      <c r="K8" s="13" t="s">
        <v>23</v>
      </c>
      <c r="L8" s="25"/>
      <c r="M8" s="25"/>
      <c r="N8" s="119">
        <v>8376735</v>
      </c>
      <c r="O8" s="119">
        <v>13207658</v>
      </c>
      <c r="P8" s="119">
        <f t="shared" si="0"/>
        <v>21584393</v>
      </c>
      <c r="Q8" s="107">
        <v>34</v>
      </c>
      <c r="R8" s="107">
        <v>8</v>
      </c>
      <c r="S8" s="105">
        <f t="shared" si="1"/>
        <v>42</v>
      </c>
      <c r="T8" s="77">
        <v>52500</v>
      </c>
      <c r="U8" s="74">
        <v>5</v>
      </c>
      <c r="V8" s="14" t="str">
        <f t="shared" si="3"/>
        <v>5</v>
      </c>
      <c r="W8" s="14" t="str">
        <f t="shared" si="2"/>
        <v>1</v>
      </c>
      <c r="X8" s="14" t="str">
        <f t="shared" si="4"/>
        <v>1</v>
      </c>
      <c r="Y8" s="15">
        <f t="shared" si="5"/>
        <v>7</v>
      </c>
      <c r="Z8" s="44"/>
      <c r="AD8" s="8"/>
    </row>
    <row r="9" spans="1:30" s="7" customFormat="1" ht="27" customHeight="1" x14ac:dyDescent="0.35">
      <c r="A9" s="59" t="s">
        <v>36</v>
      </c>
      <c r="B9" s="27" t="s">
        <v>23</v>
      </c>
      <c r="C9" s="27"/>
      <c r="D9" s="13" t="s">
        <v>23</v>
      </c>
      <c r="E9" s="13" t="s">
        <v>23</v>
      </c>
      <c r="F9" s="13" t="s">
        <v>23</v>
      </c>
      <c r="G9" s="13" t="s">
        <v>23</v>
      </c>
      <c r="H9" s="13" t="s">
        <v>23</v>
      </c>
      <c r="I9" s="13"/>
      <c r="J9" s="13" t="s">
        <v>23</v>
      </c>
      <c r="K9" s="13" t="s">
        <v>23</v>
      </c>
      <c r="L9" s="25" t="s">
        <v>9</v>
      </c>
      <c r="M9" s="25"/>
      <c r="N9" s="119">
        <v>9901639</v>
      </c>
      <c r="O9" s="119">
        <f>9881944+4257142</f>
        <v>14139086</v>
      </c>
      <c r="P9" s="119">
        <f t="shared" si="0"/>
        <v>24040725</v>
      </c>
      <c r="Q9" s="107">
        <v>30</v>
      </c>
      <c r="R9" s="107">
        <f>3+6</f>
        <v>9</v>
      </c>
      <c r="S9" s="105">
        <f t="shared" si="1"/>
        <v>39</v>
      </c>
      <c r="T9" s="77">
        <v>280000</v>
      </c>
      <c r="U9" s="74">
        <v>4</v>
      </c>
      <c r="V9" s="14" t="str">
        <f t="shared" si="3"/>
        <v>5</v>
      </c>
      <c r="W9" s="14" t="str">
        <f t="shared" si="2"/>
        <v>2</v>
      </c>
      <c r="X9" s="14" t="str">
        <f t="shared" si="4"/>
        <v>2</v>
      </c>
      <c r="Y9" s="15">
        <f t="shared" si="5"/>
        <v>9</v>
      </c>
      <c r="Z9" s="44"/>
    </row>
    <row r="10" spans="1:30" s="7" customFormat="1" ht="27" customHeight="1" x14ac:dyDescent="0.35">
      <c r="A10" s="58" t="s">
        <v>11</v>
      </c>
      <c r="B10" s="38" t="s">
        <v>23</v>
      </c>
      <c r="C10" s="38"/>
      <c r="D10" s="13" t="s">
        <v>23</v>
      </c>
      <c r="E10" s="13"/>
      <c r="F10" s="13" t="s">
        <v>23</v>
      </c>
      <c r="G10" s="13" t="s">
        <v>23</v>
      </c>
      <c r="H10" s="13" t="s">
        <v>23</v>
      </c>
      <c r="I10" s="13"/>
      <c r="J10" s="13" t="s">
        <v>23</v>
      </c>
      <c r="K10" s="13"/>
      <c r="L10" s="25" t="s">
        <v>9</v>
      </c>
      <c r="M10" s="25"/>
      <c r="N10" s="119">
        <v>5553605</v>
      </c>
      <c r="O10" s="119">
        <v>0</v>
      </c>
      <c r="P10" s="119">
        <f t="shared" si="0"/>
        <v>5553605</v>
      </c>
      <c r="Q10" s="107">
        <v>4</v>
      </c>
      <c r="R10" s="107">
        <v>0</v>
      </c>
      <c r="S10" s="105">
        <f t="shared" si="1"/>
        <v>4</v>
      </c>
      <c r="T10" s="77">
        <v>1713000</v>
      </c>
      <c r="U10" s="74">
        <v>4</v>
      </c>
      <c r="V10" s="14" t="str">
        <f t="shared" si="3"/>
        <v>2</v>
      </c>
      <c r="W10" s="14" t="str">
        <f t="shared" si="2"/>
        <v>5</v>
      </c>
      <c r="X10" s="14" t="str">
        <f t="shared" si="4"/>
        <v>2</v>
      </c>
      <c r="Y10" s="15">
        <f t="shared" si="5"/>
        <v>9</v>
      </c>
      <c r="Z10" s="44"/>
    </row>
    <row r="11" spans="1:30" s="7" customFormat="1" ht="27" customHeight="1" x14ac:dyDescent="0.35">
      <c r="A11" s="58" t="s">
        <v>13</v>
      </c>
      <c r="B11" s="38" t="s">
        <v>23</v>
      </c>
      <c r="C11" s="38"/>
      <c r="D11" s="13" t="s">
        <v>23</v>
      </c>
      <c r="E11" s="13" t="s">
        <v>23</v>
      </c>
      <c r="F11" s="13"/>
      <c r="G11" s="13"/>
      <c r="H11" s="13"/>
      <c r="I11" s="13"/>
      <c r="J11" s="13"/>
      <c r="K11" s="13"/>
      <c r="L11" s="25" t="s">
        <v>9</v>
      </c>
      <c r="M11" s="25"/>
      <c r="N11" s="120">
        <v>1346331</v>
      </c>
      <c r="O11" s="120">
        <v>1295714</v>
      </c>
      <c r="P11" s="120">
        <f t="shared" si="0"/>
        <v>2642045</v>
      </c>
      <c r="Q11" s="108">
        <v>21</v>
      </c>
      <c r="R11" s="108">
        <v>5</v>
      </c>
      <c r="S11" s="105">
        <f t="shared" si="1"/>
        <v>26</v>
      </c>
      <c r="T11" s="77">
        <v>181000</v>
      </c>
      <c r="U11" s="74">
        <v>5</v>
      </c>
      <c r="V11" s="14" t="str">
        <f t="shared" si="3"/>
        <v>5</v>
      </c>
      <c r="W11" s="14" t="str">
        <f t="shared" si="2"/>
        <v>2</v>
      </c>
      <c r="X11" s="14" t="str">
        <f t="shared" si="4"/>
        <v>1</v>
      </c>
      <c r="Y11" s="15">
        <f t="shared" si="5"/>
        <v>8</v>
      </c>
      <c r="Z11" s="44"/>
    </row>
    <row r="12" spans="1:30" s="7" customFormat="1" ht="27" customHeight="1" x14ac:dyDescent="0.4">
      <c r="A12" s="48" t="s">
        <v>66</v>
      </c>
      <c r="B12" s="49"/>
      <c r="C12" s="55" t="s">
        <v>23</v>
      </c>
      <c r="D12" s="55" t="s">
        <v>23</v>
      </c>
      <c r="E12" s="50"/>
      <c r="F12" s="50"/>
      <c r="G12" s="50"/>
      <c r="H12" s="50"/>
      <c r="I12" s="50"/>
      <c r="J12" s="55" t="s">
        <v>23</v>
      </c>
      <c r="K12" s="55" t="s">
        <v>23</v>
      </c>
      <c r="L12" s="50"/>
      <c r="M12" s="50"/>
      <c r="N12" s="119">
        <f>3765347/3</f>
        <v>1255115.6666666667</v>
      </c>
      <c r="O12" s="119">
        <v>1944444</v>
      </c>
      <c r="P12" s="119">
        <f t="shared" si="0"/>
        <v>3199559.666666667</v>
      </c>
      <c r="Q12" s="107">
        <v>9</v>
      </c>
      <c r="R12" s="107">
        <v>1</v>
      </c>
      <c r="S12" s="109">
        <f t="shared" si="1"/>
        <v>10</v>
      </c>
      <c r="T12" s="77">
        <v>728000</v>
      </c>
      <c r="U12" s="76">
        <v>5</v>
      </c>
      <c r="V12" s="14" t="str">
        <f t="shared" si="3"/>
        <v>3</v>
      </c>
      <c r="W12" s="14" t="str">
        <f>IF(T12&gt;300000,"5",IF(T12&gt;100000,"4",IF(T12&gt;60000,"3",IF(T12&gt;20000,"2",IF(T12&gt;0,"1","-")))))</f>
        <v>5</v>
      </c>
      <c r="X12" s="14" t="str">
        <f t="shared" si="4"/>
        <v>1</v>
      </c>
      <c r="Y12" s="15">
        <f t="shared" si="5"/>
        <v>9</v>
      </c>
      <c r="Z12" s="50"/>
    </row>
    <row r="13" spans="1:30" s="7" customFormat="1" ht="41.25" customHeight="1" x14ac:dyDescent="0.35">
      <c r="A13" s="78" t="s">
        <v>24</v>
      </c>
      <c r="B13" s="85"/>
      <c r="C13" s="85"/>
      <c r="D13" s="86" t="s">
        <v>23</v>
      </c>
      <c r="E13" s="86"/>
      <c r="F13" s="86" t="s">
        <v>23</v>
      </c>
      <c r="G13" s="86"/>
      <c r="H13" s="86"/>
      <c r="I13" s="86"/>
      <c r="J13" s="86"/>
      <c r="K13" s="86"/>
      <c r="L13" s="87"/>
      <c r="M13" s="87"/>
      <c r="N13" s="121">
        <v>5683249</v>
      </c>
      <c r="O13" s="121">
        <v>0</v>
      </c>
      <c r="P13" s="121">
        <f t="shared" si="0"/>
        <v>5683249</v>
      </c>
      <c r="Q13" s="110">
        <v>12</v>
      </c>
      <c r="R13" s="110">
        <v>0</v>
      </c>
      <c r="S13" s="103">
        <f t="shared" si="1"/>
        <v>12</v>
      </c>
      <c r="T13" s="88">
        <f>1100000+225503</f>
        <v>1325503</v>
      </c>
      <c r="U13" s="89">
        <v>5</v>
      </c>
      <c r="V13" s="90" t="str">
        <f t="shared" si="3"/>
        <v>4</v>
      </c>
      <c r="W13" s="90" t="str">
        <f>IF(T13&gt;1000000,"5",IF(T13&gt;500000,"4",IF(T13&gt;300000,"3",IF(T13&gt;100000,"2",IF(T13&gt;0,"1","-")))))</f>
        <v>5</v>
      </c>
      <c r="X13" s="90" t="str">
        <f t="shared" si="4"/>
        <v>1</v>
      </c>
      <c r="Y13" s="91">
        <f t="shared" si="5"/>
        <v>10</v>
      </c>
      <c r="Z13" s="92"/>
    </row>
    <row r="14" spans="1:30" s="7" customFormat="1" ht="27" customHeight="1" x14ac:dyDescent="0.35">
      <c r="A14" s="79" t="s">
        <v>5</v>
      </c>
      <c r="B14" s="93"/>
      <c r="C14" s="93"/>
      <c r="D14" s="86" t="s">
        <v>23</v>
      </c>
      <c r="E14" s="86" t="s">
        <v>23</v>
      </c>
      <c r="F14" s="86"/>
      <c r="G14" s="86"/>
      <c r="H14" s="86"/>
      <c r="I14" s="86"/>
      <c r="J14" s="86" t="s">
        <v>23</v>
      </c>
      <c r="K14" s="86" t="s">
        <v>23</v>
      </c>
      <c r="L14" s="87"/>
      <c r="M14" s="87"/>
      <c r="N14" s="121">
        <v>5504975</v>
      </c>
      <c r="O14" s="121">
        <v>0</v>
      </c>
      <c r="P14" s="121">
        <f t="shared" si="0"/>
        <v>5504975</v>
      </c>
      <c r="Q14" s="110">
        <v>4</v>
      </c>
      <c r="R14" s="110">
        <v>0</v>
      </c>
      <c r="S14" s="103">
        <f t="shared" si="1"/>
        <v>4</v>
      </c>
      <c r="T14" s="88">
        <f>141000+120877</f>
        <v>261877</v>
      </c>
      <c r="U14" s="89">
        <v>5</v>
      </c>
      <c r="V14" s="90" t="str">
        <f t="shared" si="3"/>
        <v>2</v>
      </c>
      <c r="W14" s="90" t="str">
        <f>IF(T14&gt;1000000,"5",IF(T14&gt;500000,"4",IF(T14&gt;300000,"3",IF(T14&gt;100000,"2",IF(T14&gt;0,"1","-")))))</f>
        <v>2</v>
      </c>
      <c r="X14" s="90" t="str">
        <f t="shared" si="4"/>
        <v>1</v>
      </c>
      <c r="Y14" s="91">
        <f t="shared" si="5"/>
        <v>5</v>
      </c>
      <c r="Z14" s="92"/>
    </row>
    <row r="15" spans="1:30" s="7" customFormat="1" ht="27" customHeight="1" x14ac:dyDescent="0.3">
      <c r="A15" s="80" t="s">
        <v>45</v>
      </c>
      <c r="B15" s="94"/>
      <c r="C15" s="94"/>
      <c r="D15" s="95"/>
      <c r="E15" s="86" t="s">
        <v>23</v>
      </c>
      <c r="F15" s="86"/>
      <c r="G15" s="86"/>
      <c r="H15" s="95"/>
      <c r="I15" s="95"/>
      <c r="J15" s="86" t="s">
        <v>23</v>
      </c>
      <c r="K15" s="86" t="s">
        <v>23</v>
      </c>
      <c r="L15" s="95"/>
      <c r="M15" s="95"/>
      <c r="N15" s="121">
        <v>2735658</v>
      </c>
      <c r="O15" s="121">
        <v>2575714</v>
      </c>
      <c r="P15" s="121">
        <f t="shared" si="0"/>
        <v>5311372</v>
      </c>
      <c r="Q15" s="110">
        <v>28</v>
      </c>
      <c r="R15" s="110">
        <v>5</v>
      </c>
      <c r="S15" s="103">
        <f t="shared" si="1"/>
        <v>33</v>
      </c>
      <c r="T15" s="88">
        <f>115000+120870</f>
        <v>235870</v>
      </c>
      <c r="U15" s="89">
        <v>1</v>
      </c>
      <c r="V15" s="90" t="str">
        <f t="shared" si="3"/>
        <v>5</v>
      </c>
      <c r="W15" s="90" t="str">
        <f>IF(T15&gt;1000000,"5",IF(T15&gt;500000,"4",IF(T15&gt;300000,"3",IF(T15&gt;100000,"2",IF(T15&gt;0,"1","-")))))</f>
        <v>2</v>
      </c>
      <c r="X15" s="90" t="str">
        <f t="shared" si="4"/>
        <v>5</v>
      </c>
      <c r="Y15" s="91">
        <f t="shared" si="5"/>
        <v>12</v>
      </c>
      <c r="Z15" s="95"/>
    </row>
    <row r="16" spans="1:30" s="7" customFormat="1" ht="27" customHeight="1" x14ac:dyDescent="0.35">
      <c r="A16" s="81" t="s">
        <v>7</v>
      </c>
      <c r="B16" s="85"/>
      <c r="C16" s="85"/>
      <c r="D16" s="86" t="s">
        <v>23</v>
      </c>
      <c r="E16" s="86"/>
      <c r="F16" s="86"/>
      <c r="G16" s="86"/>
      <c r="H16" s="86"/>
      <c r="I16" s="86"/>
      <c r="J16" s="86"/>
      <c r="K16" s="86"/>
      <c r="L16" s="87"/>
      <c r="M16" s="87"/>
      <c r="N16" s="122">
        <v>0</v>
      </c>
      <c r="O16" s="122">
        <v>0</v>
      </c>
      <c r="P16" s="121">
        <f t="shared" si="0"/>
        <v>0</v>
      </c>
      <c r="Q16" s="103">
        <v>0</v>
      </c>
      <c r="R16" s="103">
        <v>0</v>
      </c>
      <c r="S16" s="103">
        <f t="shared" si="1"/>
        <v>0</v>
      </c>
      <c r="T16" s="88">
        <f>312000+218956</f>
        <v>530956</v>
      </c>
      <c r="U16" s="89">
        <v>5</v>
      </c>
      <c r="V16" s="90" t="str">
        <f t="shared" si="3"/>
        <v>1</v>
      </c>
      <c r="W16" s="90" t="str">
        <f>IF(T16&gt;1000000,"5",IF(T16&gt;500000,"4",IF(T16&gt;300000,"3",IF(T16&gt;100000,"2",IF(T16&gt;0,"1","-")))))</f>
        <v>4</v>
      </c>
      <c r="X16" s="90" t="str">
        <f t="shared" si="4"/>
        <v>1</v>
      </c>
      <c r="Y16" s="91">
        <f t="shared" si="5"/>
        <v>6</v>
      </c>
      <c r="Z16" s="92"/>
    </row>
    <row r="17" spans="1:50" s="7" customFormat="1" ht="27" customHeight="1" x14ac:dyDescent="0.35">
      <c r="A17" s="82" t="s">
        <v>44</v>
      </c>
      <c r="B17" s="85"/>
      <c r="C17" s="85"/>
      <c r="D17" s="86" t="s">
        <v>23</v>
      </c>
      <c r="E17" s="86" t="s">
        <v>23</v>
      </c>
      <c r="F17" s="86" t="s">
        <v>23</v>
      </c>
      <c r="G17" s="86"/>
      <c r="H17" s="86"/>
      <c r="I17" s="86"/>
      <c r="J17" s="86" t="s">
        <v>23</v>
      </c>
      <c r="K17" s="86"/>
      <c r="L17" s="87" t="s">
        <v>9</v>
      </c>
      <c r="M17" s="87"/>
      <c r="N17" s="123">
        <v>1312722</v>
      </c>
      <c r="O17" s="123">
        <v>1295714</v>
      </c>
      <c r="P17" s="121">
        <f t="shared" si="0"/>
        <v>2608436</v>
      </c>
      <c r="Q17" s="111">
        <v>23</v>
      </c>
      <c r="R17" s="111">
        <v>5</v>
      </c>
      <c r="S17" s="103">
        <f t="shared" si="1"/>
        <v>28</v>
      </c>
      <c r="T17" s="88">
        <f>33000+41609</f>
        <v>74609</v>
      </c>
      <c r="U17" s="89">
        <v>1</v>
      </c>
      <c r="V17" s="90" t="str">
        <f t="shared" si="3"/>
        <v>5</v>
      </c>
      <c r="W17" s="90" t="str">
        <f>IF(T17&gt;1000000,"5",IF(T17&gt;500000,"4",IF(T17&gt;300000,"3",IF(T17&gt;100000,"2",IF(T17&gt;0,"1","-")))))</f>
        <v>1</v>
      </c>
      <c r="X17" s="90" t="str">
        <f t="shared" si="4"/>
        <v>5</v>
      </c>
      <c r="Y17" s="91">
        <f t="shared" si="5"/>
        <v>11</v>
      </c>
      <c r="Z17" s="92"/>
    </row>
    <row r="18" spans="1:50" s="7" customFormat="1" ht="27" customHeight="1" x14ac:dyDescent="0.35">
      <c r="A18" s="81" t="s">
        <v>18</v>
      </c>
      <c r="B18" s="85"/>
      <c r="C18" s="85"/>
      <c r="D18" s="86" t="s">
        <v>23</v>
      </c>
      <c r="E18" s="91"/>
      <c r="F18" s="91"/>
      <c r="G18" s="91"/>
      <c r="H18" s="91"/>
      <c r="I18" s="91"/>
      <c r="J18" s="91" t="s">
        <v>23</v>
      </c>
      <c r="K18" s="91" t="s">
        <v>23</v>
      </c>
      <c r="L18" s="96"/>
      <c r="M18" s="96"/>
      <c r="N18" s="121">
        <v>1255116</v>
      </c>
      <c r="O18" s="121">
        <v>0</v>
      </c>
      <c r="P18" s="121">
        <f t="shared" si="0"/>
        <v>1255116</v>
      </c>
      <c r="Q18" s="110">
        <v>7</v>
      </c>
      <c r="R18" s="110">
        <v>0</v>
      </c>
      <c r="S18" s="103">
        <f t="shared" si="1"/>
        <v>7</v>
      </c>
      <c r="T18" s="88">
        <f>15000+19331</f>
        <v>34331</v>
      </c>
      <c r="U18" s="89">
        <v>1</v>
      </c>
      <c r="V18" s="90" t="str">
        <f t="shared" si="3"/>
        <v>3</v>
      </c>
      <c r="W18" s="90" t="str">
        <f>IF(T18&gt;300000,"5",IF(T18&gt;100000,"4",IF(T18&gt;60000,"3",IF(T18&gt;20000,"2",IF(T18&gt;0,"1","-")))))</f>
        <v>2</v>
      </c>
      <c r="X18" s="90" t="str">
        <f t="shared" si="4"/>
        <v>5</v>
      </c>
      <c r="Y18" s="91">
        <f t="shared" si="5"/>
        <v>10</v>
      </c>
      <c r="Z18" s="92"/>
    </row>
    <row r="19" spans="1:50" ht="27" customHeight="1" x14ac:dyDescent="0.3">
      <c r="A19" s="78" t="s">
        <v>28</v>
      </c>
      <c r="B19" s="97"/>
      <c r="C19" s="97"/>
      <c r="D19" s="86" t="s">
        <v>23</v>
      </c>
      <c r="E19" s="86"/>
      <c r="F19" s="86"/>
      <c r="G19" s="86"/>
      <c r="H19" s="86"/>
      <c r="I19" s="86"/>
      <c r="J19" s="86" t="s">
        <v>23</v>
      </c>
      <c r="K19" s="86" t="s">
        <v>23</v>
      </c>
      <c r="L19" s="87"/>
      <c r="M19" s="87"/>
      <c r="N19" s="121">
        <v>74184</v>
      </c>
      <c r="O19" s="121">
        <v>0</v>
      </c>
      <c r="P19" s="121">
        <f t="shared" si="0"/>
        <v>74184</v>
      </c>
      <c r="Q19" s="110">
        <v>1</v>
      </c>
      <c r="R19" s="110">
        <v>0</v>
      </c>
      <c r="S19" s="103">
        <f t="shared" si="1"/>
        <v>1</v>
      </c>
      <c r="T19" s="88">
        <v>15000</v>
      </c>
      <c r="U19" s="89">
        <v>1</v>
      </c>
      <c r="V19" s="90" t="str">
        <f t="shared" si="3"/>
        <v>2</v>
      </c>
      <c r="W19" s="90" t="str">
        <f>IF(T19&gt;300000,"5",IF(T19&gt;100000,"4",IF(T19&gt;60000,"3",IF(T19&gt;20000,"2",IF(T19&gt;0,"1","-")))))</f>
        <v>1</v>
      </c>
      <c r="X19" s="90" t="str">
        <f t="shared" si="4"/>
        <v>5</v>
      </c>
      <c r="Y19" s="91">
        <f t="shared" si="5"/>
        <v>8</v>
      </c>
      <c r="Z19" s="98"/>
    </row>
    <row r="20" spans="1:50" ht="27" customHeight="1" x14ac:dyDescent="0.3">
      <c r="A20" s="83" t="s">
        <v>21</v>
      </c>
      <c r="B20" s="91"/>
      <c r="C20" s="91"/>
      <c r="D20" s="86" t="s">
        <v>23</v>
      </c>
      <c r="E20" s="91"/>
      <c r="F20" s="91"/>
      <c r="G20" s="91"/>
      <c r="H20" s="91"/>
      <c r="I20" s="91"/>
      <c r="J20" s="91"/>
      <c r="K20" s="91"/>
      <c r="L20" s="96"/>
      <c r="M20" s="96"/>
      <c r="N20" s="122">
        <v>0</v>
      </c>
      <c r="O20" s="122">
        <v>0</v>
      </c>
      <c r="P20" s="121">
        <f t="shared" si="0"/>
        <v>0</v>
      </c>
      <c r="Q20" s="103">
        <v>0</v>
      </c>
      <c r="R20" s="103">
        <v>0</v>
      </c>
      <c r="S20" s="103">
        <f t="shared" si="1"/>
        <v>0</v>
      </c>
      <c r="T20" s="99">
        <v>50000</v>
      </c>
      <c r="U20" s="89">
        <v>5</v>
      </c>
      <c r="V20" s="90" t="str">
        <f t="shared" si="3"/>
        <v>1</v>
      </c>
      <c r="W20" s="90" t="str">
        <f>IF(T20&gt;300000,"5",IF(T20&gt;100000,"4",IF(T20&gt;60000,"3",IF(T20&gt;20000,"2",IF(T20&gt;0,"1","-")))))</f>
        <v>2</v>
      </c>
      <c r="X20" s="90" t="str">
        <f t="shared" si="4"/>
        <v>1</v>
      </c>
      <c r="Y20" s="91">
        <f t="shared" si="5"/>
        <v>4</v>
      </c>
      <c r="Z20" s="98"/>
    </row>
    <row r="21" spans="1:50" s="10" customFormat="1" ht="27" customHeight="1" x14ac:dyDescent="0.4">
      <c r="A21" s="80" t="s">
        <v>46</v>
      </c>
      <c r="B21" s="100"/>
      <c r="C21" s="91"/>
      <c r="D21" s="91"/>
      <c r="E21" s="91" t="s">
        <v>23</v>
      </c>
      <c r="F21" s="91"/>
      <c r="G21" s="91"/>
      <c r="H21" s="91"/>
      <c r="I21" s="91"/>
      <c r="J21" s="91"/>
      <c r="K21" s="91"/>
      <c r="L21" s="101"/>
      <c r="M21" s="101"/>
      <c r="N21" s="121">
        <v>525343</v>
      </c>
      <c r="O21" s="121">
        <v>59134</v>
      </c>
      <c r="P21" s="121">
        <f t="shared" si="0"/>
        <v>584477</v>
      </c>
      <c r="Q21" s="110">
        <v>22</v>
      </c>
      <c r="R21" s="110">
        <v>3</v>
      </c>
      <c r="S21" s="103">
        <f t="shared" si="1"/>
        <v>25</v>
      </c>
      <c r="T21" s="88">
        <v>1000</v>
      </c>
      <c r="U21" s="102">
        <v>1</v>
      </c>
      <c r="V21" s="90" t="str">
        <f t="shared" si="3"/>
        <v>5</v>
      </c>
      <c r="W21" s="90" t="str">
        <f>IF(T21&gt;1000000,"5",IF(T21&gt;500000,"4",IF(T21&gt;300000,"3",IF(T21&gt;100000,"2",IF(T21&gt;0,"1","-")))))</f>
        <v>1</v>
      </c>
      <c r="X21" s="90" t="str">
        <f t="shared" si="4"/>
        <v>5</v>
      </c>
      <c r="Y21" s="91">
        <f t="shared" si="5"/>
        <v>11</v>
      </c>
      <c r="Z21" s="101"/>
    </row>
    <row r="22" spans="1:50" s="10" customFormat="1" ht="27" customHeight="1" x14ac:dyDescent="0.35">
      <c r="A22" s="84" t="s">
        <v>6</v>
      </c>
      <c r="B22" s="91"/>
      <c r="C22" s="91"/>
      <c r="D22" s="86" t="s">
        <v>23</v>
      </c>
      <c r="E22" s="86"/>
      <c r="F22" s="86"/>
      <c r="G22" s="86"/>
      <c r="H22" s="86"/>
      <c r="I22" s="86"/>
      <c r="J22" s="86" t="s">
        <v>23</v>
      </c>
      <c r="K22" s="86" t="s">
        <v>23</v>
      </c>
      <c r="L22" s="87"/>
      <c r="M22" s="87"/>
      <c r="N22" s="121">
        <f>274858/3</f>
        <v>91619.333333333328</v>
      </c>
      <c r="O22" s="121">
        <f>1944444/3</f>
        <v>648148</v>
      </c>
      <c r="P22" s="121">
        <f t="shared" si="0"/>
        <v>739767.33333333337</v>
      </c>
      <c r="Q22" s="110">
        <v>4</v>
      </c>
      <c r="R22" s="110">
        <v>1</v>
      </c>
      <c r="S22" s="103">
        <f t="shared" si="1"/>
        <v>5</v>
      </c>
      <c r="T22" s="88">
        <v>17000</v>
      </c>
      <c r="U22" s="89">
        <v>2</v>
      </c>
      <c r="V22" s="90" t="str">
        <f t="shared" si="3"/>
        <v>2</v>
      </c>
      <c r="W22" s="90" t="str">
        <f t="shared" ref="W22:W27" si="6">IF(T22&gt;300000,"5",IF(T22&gt;100000,"4",IF(T22&gt;60000,"3",IF(T22&gt;20000,"2",IF(T22&gt;0,"1","-")))))</f>
        <v>1</v>
      </c>
      <c r="X22" s="90" t="str">
        <f t="shared" si="4"/>
        <v>4</v>
      </c>
      <c r="Y22" s="91">
        <f t="shared" si="5"/>
        <v>7</v>
      </c>
      <c r="Z22" s="92"/>
    </row>
    <row r="23" spans="1:50" s="10" customFormat="1" ht="30" customHeight="1" x14ac:dyDescent="0.35">
      <c r="A23" s="81" t="s">
        <v>14</v>
      </c>
      <c r="B23" s="85"/>
      <c r="C23" s="85"/>
      <c r="D23" s="86" t="s">
        <v>23</v>
      </c>
      <c r="E23" s="86"/>
      <c r="F23" s="86"/>
      <c r="G23" s="86"/>
      <c r="H23" s="86"/>
      <c r="I23" s="86"/>
      <c r="J23" s="86" t="s">
        <v>23</v>
      </c>
      <c r="K23" s="86" t="s">
        <v>23</v>
      </c>
      <c r="L23" s="87"/>
      <c r="M23" s="87"/>
      <c r="N23" s="121">
        <f>(741840/10)*9</f>
        <v>667656</v>
      </c>
      <c r="O23" s="121">
        <v>1944444</v>
      </c>
      <c r="P23" s="121">
        <f t="shared" si="0"/>
        <v>2612100</v>
      </c>
      <c r="Q23" s="110">
        <v>10</v>
      </c>
      <c r="R23" s="110">
        <v>1</v>
      </c>
      <c r="S23" s="103">
        <f t="shared" si="1"/>
        <v>11</v>
      </c>
      <c r="T23" s="88">
        <f>15000+19314</f>
        <v>34314</v>
      </c>
      <c r="U23" s="89">
        <v>2</v>
      </c>
      <c r="V23" s="90" t="str">
        <f t="shared" si="3"/>
        <v>4</v>
      </c>
      <c r="W23" s="90" t="str">
        <f t="shared" si="6"/>
        <v>2</v>
      </c>
      <c r="X23" s="90" t="str">
        <f t="shared" si="4"/>
        <v>4</v>
      </c>
      <c r="Y23" s="91">
        <f t="shared" si="5"/>
        <v>10</v>
      </c>
      <c r="Z23" s="92"/>
    </row>
    <row r="24" spans="1:50" ht="42.75" customHeight="1" x14ac:dyDescent="0.3">
      <c r="A24" s="81" t="s">
        <v>17</v>
      </c>
      <c r="B24" s="85"/>
      <c r="C24" s="85"/>
      <c r="D24" s="86" t="s">
        <v>23</v>
      </c>
      <c r="E24" s="86"/>
      <c r="F24" s="86"/>
      <c r="G24" s="86"/>
      <c r="H24" s="86"/>
      <c r="I24" s="86"/>
      <c r="J24" s="86" t="s">
        <v>23</v>
      </c>
      <c r="K24" s="86" t="s">
        <v>23</v>
      </c>
      <c r="L24" s="87"/>
      <c r="M24" s="87"/>
      <c r="N24" s="121">
        <v>1255116</v>
      </c>
      <c r="O24" s="121">
        <v>0</v>
      </c>
      <c r="P24" s="121">
        <f t="shared" si="0"/>
        <v>1255116</v>
      </c>
      <c r="Q24" s="110">
        <v>7</v>
      </c>
      <c r="R24" s="110">
        <v>0</v>
      </c>
      <c r="S24" s="103">
        <f t="shared" si="1"/>
        <v>7</v>
      </c>
      <c r="T24" s="88">
        <f>14000+21184</f>
        <v>35184</v>
      </c>
      <c r="U24" s="89">
        <v>1</v>
      </c>
      <c r="V24" s="90" t="str">
        <f t="shared" si="3"/>
        <v>3</v>
      </c>
      <c r="W24" s="90" t="str">
        <f t="shared" si="6"/>
        <v>2</v>
      </c>
      <c r="X24" s="90" t="str">
        <f t="shared" si="4"/>
        <v>5</v>
      </c>
      <c r="Y24" s="91">
        <f t="shared" si="5"/>
        <v>10</v>
      </c>
      <c r="Z24" s="92"/>
    </row>
    <row r="25" spans="1:50" ht="30.75" customHeight="1" x14ac:dyDescent="0.3">
      <c r="A25" s="83" t="s">
        <v>20</v>
      </c>
      <c r="B25" s="91"/>
      <c r="C25" s="91"/>
      <c r="D25" s="86" t="s">
        <v>23</v>
      </c>
      <c r="E25" s="91"/>
      <c r="F25" s="91"/>
      <c r="G25" s="91"/>
      <c r="H25" s="91"/>
      <c r="I25" s="91"/>
      <c r="J25" s="91"/>
      <c r="K25" s="91"/>
      <c r="L25" s="96"/>
      <c r="M25" s="96"/>
      <c r="N25" s="122">
        <v>0</v>
      </c>
      <c r="O25" s="122">
        <v>0</v>
      </c>
      <c r="P25" s="121">
        <f t="shared" si="0"/>
        <v>0</v>
      </c>
      <c r="Q25" s="103">
        <v>0</v>
      </c>
      <c r="R25" s="103">
        <v>0</v>
      </c>
      <c r="S25" s="103">
        <f t="shared" si="1"/>
        <v>0</v>
      </c>
      <c r="T25" s="99">
        <v>17000</v>
      </c>
      <c r="U25" s="89">
        <v>5</v>
      </c>
      <c r="V25" s="90" t="str">
        <f t="shared" si="3"/>
        <v>1</v>
      </c>
      <c r="W25" s="90" t="str">
        <f t="shared" si="6"/>
        <v>1</v>
      </c>
      <c r="X25" s="90" t="str">
        <f t="shared" si="4"/>
        <v>1</v>
      </c>
      <c r="Y25" s="91">
        <f t="shared" si="5"/>
        <v>3</v>
      </c>
      <c r="Z25" s="98"/>
      <c r="AB25" s="52"/>
    </row>
    <row r="26" spans="1:50" ht="30.75" customHeight="1" x14ac:dyDescent="0.3">
      <c r="A26" s="81" t="s">
        <v>15</v>
      </c>
      <c r="B26" s="85"/>
      <c r="C26" s="85"/>
      <c r="D26" s="86" t="s">
        <v>23</v>
      </c>
      <c r="E26" s="86"/>
      <c r="F26" s="86"/>
      <c r="G26" s="86"/>
      <c r="H26" s="86"/>
      <c r="I26" s="86"/>
      <c r="J26" s="86" t="s">
        <v>23</v>
      </c>
      <c r="K26" s="86" t="s">
        <v>23</v>
      </c>
      <c r="L26" s="87"/>
      <c r="M26" s="87"/>
      <c r="N26" s="121">
        <f>(274858/3)*2</f>
        <v>183238.66666666666</v>
      </c>
      <c r="O26" s="121">
        <f>(1944444/3)*2</f>
        <v>1296296</v>
      </c>
      <c r="P26" s="121">
        <f t="shared" si="0"/>
        <v>1479534.6666666667</v>
      </c>
      <c r="Q26" s="110">
        <v>4</v>
      </c>
      <c r="R26" s="110">
        <v>1</v>
      </c>
      <c r="S26" s="103">
        <f t="shared" si="1"/>
        <v>5</v>
      </c>
      <c r="T26" s="88">
        <f>17000+16869</f>
        <v>33869</v>
      </c>
      <c r="U26" s="89">
        <v>2</v>
      </c>
      <c r="V26" s="90" t="str">
        <f t="shared" si="3"/>
        <v>2</v>
      </c>
      <c r="W26" s="90" t="str">
        <f t="shared" si="6"/>
        <v>2</v>
      </c>
      <c r="X26" s="90" t="str">
        <f t="shared" si="4"/>
        <v>4</v>
      </c>
      <c r="Y26" s="91">
        <f t="shared" si="5"/>
        <v>8</v>
      </c>
      <c r="Z26" s="98"/>
      <c r="AB26" s="52"/>
    </row>
    <row r="27" spans="1:50" ht="20" x14ac:dyDescent="0.3">
      <c r="A27" s="81" t="s">
        <v>89</v>
      </c>
      <c r="B27" s="85"/>
      <c r="C27" s="85"/>
      <c r="D27" s="86"/>
      <c r="E27" s="86"/>
      <c r="F27" s="86"/>
      <c r="G27" s="86"/>
      <c r="H27" s="86"/>
      <c r="I27" s="86"/>
      <c r="J27" s="86"/>
      <c r="K27" s="86"/>
      <c r="L27" s="87"/>
      <c r="M27" s="87"/>
      <c r="N27" s="121">
        <v>238720</v>
      </c>
      <c r="O27" s="121">
        <v>0</v>
      </c>
      <c r="P27" s="121">
        <f t="shared" si="0"/>
        <v>238720</v>
      </c>
      <c r="Q27" s="110">
        <v>3</v>
      </c>
      <c r="R27" s="110">
        <v>0</v>
      </c>
      <c r="S27" s="103">
        <f t="shared" si="1"/>
        <v>3</v>
      </c>
      <c r="T27" s="88">
        <v>15000</v>
      </c>
      <c r="U27" s="89">
        <v>1</v>
      </c>
      <c r="V27" s="90" t="str">
        <f t="shared" si="3"/>
        <v>2</v>
      </c>
      <c r="W27" s="90" t="str">
        <f t="shared" si="6"/>
        <v>1</v>
      </c>
      <c r="X27" s="90" t="str">
        <f t="shared" si="4"/>
        <v>5</v>
      </c>
      <c r="Y27" s="91">
        <f t="shared" si="5"/>
        <v>8</v>
      </c>
      <c r="Z27" s="98"/>
      <c r="AB27" s="53"/>
      <c r="AD27" s="53"/>
    </row>
    <row r="29" spans="1:50" ht="23.5" x14ac:dyDescent="0.35">
      <c r="A29" s="112" t="s">
        <v>134</v>
      </c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X29" s="51"/>
    </row>
    <row r="30" spans="1:50" ht="20" x14ac:dyDescent="0.35">
      <c r="A30" s="125" t="s">
        <v>113</v>
      </c>
      <c r="I30" s="36" t="s">
        <v>135</v>
      </c>
      <c r="J30" s="113" t="s">
        <v>23</v>
      </c>
      <c r="N30" s="114">
        <v>8054135</v>
      </c>
      <c r="O30" s="114">
        <v>2167387</v>
      </c>
      <c r="P30" s="124">
        <f>SUM(N30:O30)</f>
        <v>10221522</v>
      </c>
      <c r="Q30" s="3">
        <v>16</v>
      </c>
      <c r="R30" s="3">
        <v>3</v>
      </c>
      <c r="S30" s="3">
        <f>SUM(Q30:R30)</f>
        <v>19</v>
      </c>
    </row>
    <row r="31" spans="1:50" ht="20" x14ac:dyDescent="0.35">
      <c r="A31" s="125" t="s">
        <v>114</v>
      </c>
      <c r="J31" s="113" t="s">
        <v>23</v>
      </c>
      <c r="K31" s="113" t="s">
        <v>23</v>
      </c>
      <c r="N31" s="114">
        <v>765920</v>
      </c>
      <c r="O31" s="114">
        <v>1300000</v>
      </c>
      <c r="P31" s="124">
        <f t="shared" ref="P31:P94" si="7">SUM(N31:O31)</f>
        <v>2065920</v>
      </c>
      <c r="Q31" s="3">
        <v>6</v>
      </c>
      <c r="R31" s="3">
        <v>1</v>
      </c>
      <c r="S31" s="3">
        <f t="shared" ref="S31:S94" si="8">SUM(Q31:R31)</f>
        <v>7</v>
      </c>
    </row>
    <row r="32" spans="1:50" ht="20" x14ac:dyDescent="0.35">
      <c r="A32" s="126" t="s">
        <v>115</v>
      </c>
      <c r="J32" s="113" t="s">
        <v>23</v>
      </c>
      <c r="N32" s="114">
        <v>87270</v>
      </c>
      <c r="O32" s="114">
        <v>1300000</v>
      </c>
      <c r="P32" s="124">
        <f t="shared" si="7"/>
        <v>1387270</v>
      </c>
      <c r="Q32" s="3">
        <v>1</v>
      </c>
      <c r="R32" s="3">
        <v>1</v>
      </c>
      <c r="S32" s="3">
        <f t="shared" si="8"/>
        <v>2</v>
      </c>
    </row>
    <row r="33" spans="1:19" ht="20" x14ac:dyDescent="0.35">
      <c r="A33" s="126" t="s">
        <v>116</v>
      </c>
      <c r="J33" s="113" t="s">
        <v>23</v>
      </c>
      <c r="K33" s="113" t="s">
        <v>23</v>
      </c>
      <c r="N33" s="114">
        <v>437717</v>
      </c>
      <c r="O33" s="114">
        <v>1300000</v>
      </c>
      <c r="P33" s="124">
        <f t="shared" si="7"/>
        <v>1737717</v>
      </c>
      <c r="Q33" s="3">
        <v>5</v>
      </c>
      <c r="R33" s="3">
        <v>1</v>
      </c>
      <c r="S33" s="3">
        <f t="shared" si="8"/>
        <v>6</v>
      </c>
    </row>
    <row r="34" spans="1:19" ht="29" x14ac:dyDescent="0.35">
      <c r="A34" s="126" t="s">
        <v>117</v>
      </c>
      <c r="J34" s="113" t="s">
        <v>23</v>
      </c>
      <c r="N34" s="114">
        <v>0</v>
      </c>
      <c r="O34" s="114">
        <v>1300000</v>
      </c>
      <c r="P34" s="124">
        <f t="shared" si="7"/>
        <v>1300000</v>
      </c>
      <c r="Q34" s="3">
        <v>0</v>
      </c>
      <c r="R34" s="3">
        <v>1</v>
      </c>
      <c r="S34" s="3">
        <f t="shared" si="8"/>
        <v>1</v>
      </c>
    </row>
    <row r="35" spans="1:19" ht="20" x14ac:dyDescent="0.35">
      <c r="A35" s="126" t="s">
        <v>118</v>
      </c>
      <c r="J35" s="113" t="s">
        <v>23</v>
      </c>
      <c r="K35" s="113" t="s">
        <v>23</v>
      </c>
      <c r="N35" s="114">
        <v>29760</v>
      </c>
      <c r="O35" s="114">
        <v>1300000</v>
      </c>
      <c r="P35" s="124">
        <f t="shared" si="7"/>
        <v>1329760</v>
      </c>
      <c r="Q35" s="3">
        <v>1</v>
      </c>
      <c r="R35" s="3">
        <v>1</v>
      </c>
      <c r="S35" s="3">
        <f t="shared" si="8"/>
        <v>2</v>
      </c>
    </row>
    <row r="36" spans="1:19" ht="20" x14ac:dyDescent="0.35">
      <c r="A36" s="126" t="s">
        <v>119</v>
      </c>
      <c r="E36" s="113" t="s">
        <v>23</v>
      </c>
      <c r="N36" s="114">
        <v>3576603</v>
      </c>
      <c r="O36" s="114">
        <v>2207142</v>
      </c>
      <c r="P36" s="124">
        <f t="shared" si="7"/>
        <v>5783745</v>
      </c>
      <c r="Q36" s="3">
        <v>20</v>
      </c>
      <c r="R36" s="3">
        <v>5</v>
      </c>
      <c r="S36" s="3">
        <f t="shared" si="8"/>
        <v>25</v>
      </c>
    </row>
    <row r="37" spans="1:19" ht="20" x14ac:dyDescent="0.35">
      <c r="A37" s="126" t="s">
        <v>121</v>
      </c>
      <c r="E37" s="113" t="s">
        <v>23</v>
      </c>
      <c r="J37" s="113" t="s">
        <v>23</v>
      </c>
      <c r="N37" s="114">
        <v>3736457</v>
      </c>
      <c r="O37" s="114">
        <v>2207142</v>
      </c>
      <c r="P37" s="124">
        <f t="shared" si="7"/>
        <v>5943599</v>
      </c>
      <c r="Q37" s="3">
        <v>20</v>
      </c>
      <c r="R37" s="3">
        <v>5</v>
      </c>
      <c r="S37" s="3">
        <f t="shared" si="8"/>
        <v>25</v>
      </c>
    </row>
    <row r="38" spans="1:19" ht="20" x14ac:dyDescent="0.35">
      <c r="A38" s="126" t="s">
        <v>120</v>
      </c>
      <c r="E38" s="113" t="s">
        <v>23</v>
      </c>
      <c r="J38" s="113" t="s">
        <v>23</v>
      </c>
      <c r="N38" s="114">
        <v>3722722</v>
      </c>
      <c r="O38" s="114">
        <v>2207142</v>
      </c>
      <c r="P38" s="124">
        <f t="shared" si="7"/>
        <v>5929864</v>
      </c>
      <c r="Q38" s="3">
        <v>20</v>
      </c>
      <c r="R38" s="3">
        <v>5</v>
      </c>
      <c r="S38" s="3">
        <f t="shared" si="8"/>
        <v>25</v>
      </c>
    </row>
    <row r="39" spans="1:19" ht="20" x14ac:dyDescent="0.35">
      <c r="A39" s="125" t="s">
        <v>122</v>
      </c>
      <c r="E39" s="113" t="s">
        <v>23</v>
      </c>
      <c r="N39" s="114">
        <v>483283</v>
      </c>
      <c r="O39" s="114">
        <v>894314</v>
      </c>
      <c r="P39" s="124">
        <f t="shared" si="7"/>
        <v>1377597</v>
      </c>
      <c r="Q39" s="3">
        <v>13</v>
      </c>
      <c r="R39" s="3">
        <v>2</v>
      </c>
      <c r="S39" s="3">
        <f t="shared" si="8"/>
        <v>15</v>
      </c>
    </row>
    <row r="40" spans="1:19" ht="20" x14ac:dyDescent="0.35">
      <c r="A40" s="125" t="s">
        <v>123</v>
      </c>
      <c r="E40" s="113" t="s">
        <v>23</v>
      </c>
      <c r="N40" s="114">
        <v>95375</v>
      </c>
      <c r="O40" s="114">
        <v>54314</v>
      </c>
      <c r="P40" s="124">
        <f t="shared" si="7"/>
        <v>149689</v>
      </c>
      <c r="Q40" s="3">
        <v>2</v>
      </c>
      <c r="R40" s="3">
        <v>1</v>
      </c>
      <c r="S40" s="3">
        <f t="shared" si="8"/>
        <v>3</v>
      </c>
    </row>
    <row r="41" spans="1:19" ht="20" x14ac:dyDescent="0.35">
      <c r="A41" s="125" t="s">
        <v>124</v>
      </c>
      <c r="E41" s="113" t="s">
        <v>23</v>
      </c>
      <c r="N41" s="114">
        <v>433783</v>
      </c>
      <c r="O41" s="114">
        <v>54314</v>
      </c>
      <c r="P41" s="124">
        <f t="shared" si="7"/>
        <v>488097</v>
      </c>
      <c r="Q41" s="3">
        <v>13</v>
      </c>
      <c r="R41" s="3">
        <v>1</v>
      </c>
      <c r="S41" s="3">
        <f t="shared" si="8"/>
        <v>14</v>
      </c>
    </row>
    <row r="42" spans="1:19" ht="20" x14ac:dyDescent="0.35">
      <c r="A42" s="125" t="s">
        <v>125</v>
      </c>
      <c r="E42" s="113" t="s">
        <v>23</v>
      </c>
      <c r="G42" s="36" t="s">
        <v>135</v>
      </c>
      <c r="H42" s="36" t="s">
        <v>135</v>
      </c>
      <c r="I42" s="36" t="s">
        <v>135</v>
      </c>
      <c r="J42" s="113" t="s">
        <v>23</v>
      </c>
      <c r="K42" s="113" t="s">
        <v>23</v>
      </c>
      <c r="N42" s="114">
        <v>6107246</v>
      </c>
      <c r="O42" s="114">
        <v>2357694</v>
      </c>
      <c r="P42" s="124">
        <f t="shared" si="7"/>
        <v>8464940</v>
      </c>
      <c r="Q42" s="3">
        <v>5</v>
      </c>
      <c r="R42" s="3">
        <v>3</v>
      </c>
      <c r="S42" s="3">
        <f t="shared" si="8"/>
        <v>8</v>
      </c>
    </row>
    <row r="43" spans="1:19" ht="20" x14ac:dyDescent="0.35">
      <c r="A43" s="127" t="s">
        <v>126</v>
      </c>
      <c r="E43" s="113" t="s">
        <v>23</v>
      </c>
      <c r="G43" s="36" t="s">
        <v>135</v>
      </c>
      <c r="H43" s="36" t="s">
        <v>135</v>
      </c>
      <c r="I43" s="36" t="s">
        <v>135</v>
      </c>
      <c r="N43" s="114">
        <v>2617320</v>
      </c>
      <c r="O43" s="114">
        <v>762800</v>
      </c>
      <c r="P43" s="124">
        <f t="shared" si="7"/>
        <v>3380120</v>
      </c>
      <c r="Q43" s="3">
        <v>19</v>
      </c>
      <c r="R43" s="3">
        <v>2</v>
      </c>
      <c r="S43" s="3">
        <f t="shared" si="8"/>
        <v>21</v>
      </c>
    </row>
    <row r="44" spans="1:19" ht="20" x14ac:dyDescent="0.35">
      <c r="A44" s="127" t="s">
        <v>127</v>
      </c>
      <c r="E44" s="113" t="s">
        <v>23</v>
      </c>
      <c r="G44" s="36" t="s">
        <v>135</v>
      </c>
      <c r="H44" s="36" t="s">
        <v>135</v>
      </c>
      <c r="I44" s="36" t="s">
        <v>135</v>
      </c>
      <c r="N44" s="114">
        <v>2617320</v>
      </c>
      <c r="O44" s="114">
        <v>762800</v>
      </c>
      <c r="P44" s="124">
        <f t="shared" si="7"/>
        <v>3380120</v>
      </c>
      <c r="Q44" s="3">
        <v>19</v>
      </c>
      <c r="R44" s="3">
        <v>2</v>
      </c>
      <c r="S44" s="3">
        <f t="shared" si="8"/>
        <v>21</v>
      </c>
    </row>
    <row r="45" spans="1:19" ht="20" x14ac:dyDescent="0.35">
      <c r="A45" s="125" t="s">
        <v>128</v>
      </c>
      <c r="E45" s="113" t="s">
        <v>23</v>
      </c>
      <c r="J45" s="113" t="s">
        <v>23</v>
      </c>
      <c r="N45" s="114">
        <v>95628</v>
      </c>
      <c r="O45" s="114">
        <v>18600</v>
      </c>
      <c r="P45" s="124">
        <f t="shared" si="7"/>
        <v>114228</v>
      </c>
      <c r="Q45" s="3">
        <v>2</v>
      </c>
      <c r="R45" s="3">
        <v>1</v>
      </c>
      <c r="S45" s="3">
        <f t="shared" si="8"/>
        <v>3</v>
      </c>
    </row>
    <row r="46" spans="1:19" ht="20" x14ac:dyDescent="0.35">
      <c r="A46" s="125" t="s">
        <v>129</v>
      </c>
      <c r="E46" s="113" t="s">
        <v>23</v>
      </c>
      <c r="N46" s="114">
        <v>794358</v>
      </c>
      <c r="O46" s="114">
        <v>105454</v>
      </c>
      <c r="P46" s="124">
        <f t="shared" si="7"/>
        <v>899812</v>
      </c>
      <c r="Q46" s="3">
        <v>20</v>
      </c>
      <c r="R46" s="3">
        <v>3</v>
      </c>
      <c r="S46" s="3">
        <f t="shared" si="8"/>
        <v>23</v>
      </c>
    </row>
    <row r="47" spans="1:19" ht="28.5" x14ac:dyDescent="0.35">
      <c r="A47" s="125" t="s">
        <v>130</v>
      </c>
      <c r="E47" s="113" t="s">
        <v>23</v>
      </c>
      <c r="N47" s="114">
        <v>771597</v>
      </c>
      <c r="O47" s="114">
        <v>92214</v>
      </c>
      <c r="P47" s="124">
        <f t="shared" si="7"/>
        <v>863811</v>
      </c>
      <c r="Q47" s="3">
        <v>18</v>
      </c>
      <c r="R47" s="3">
        <v>2</v>
      </c>
      <c r="S47" s="3">
        <f t="shared" si="8"/>
        <v>20</v>
      </c>
    </row>
    <row r="48" spans="1:19" ht="20" x14ac:dyDescent="0.35">
      <c r="A48" s="125" t="s">
        <v>131</v>
      </c>
      <c r="E48" s="113" t="s">
        <v>23</v>
      </c>
      <c r="N48" s="114">
        <v>0</v>
      </c>
      <c r="O48" s="114">
        <v>16125</v>
      </c>
      <c r="P48" s="124">
        <f t="shared" si="7"/>
        <v>16125</v>
      </c>
      <c r="Q48" s="3">
        <v>0</v>
      </c>
      <c r="R48" s="3">
        <v>1</v>
      </c>
      <c r="S48" s="3">
        <f t="shared" si="8"/>
        <v>1</v>
      </c>
    </row>
    <row r="49" spans="1:19" ht="20" x14ac:dyDescent="0.35">
      <c r="A49" s="125" t="s">
        <v>132</v>
      </c>
      <c r="E49" s="113" t="s">
        <v>23</v>
      </c>
      <c r="N49" s="114">
        <v>0</v>
      </c>
      <c r="O49" s="114">
        <v>14175</v>
      </c>
      <c r="P49" s="124">
        <f t="shared" si="7"/>
        <v>14175</v>
      </c>
      <c r="Q49" s="3">
        <v>0</v>
      </c>
      <c r="R49" s="3">
        <v>1</v>
      </c>
      <c r="S49" s="3">
        <f t="shared" si="8"/>
        <v>1</v>
      </c>
    </row>
    <row r="50" spans="1:19" ht="20" x14ac:dyDescent="0.35">
      <c r="A50" s="125" t="s">
        <v>133</v>
      </c>
      <c r="E50" s="113" t="s">
        <v>23</v>
      </c>
      <c r="N50" s="114">
        <v>0</v>
      </c>
      <c r="O50" s="114">
        <v>17375</v>
      </c>
      <c r="P50" s="124">
        <f t="shared" si="7"/>
        <v>17375</v>
      </c>
      <c r="Q50" s="3">
        <v>0</v>
      </c>
      <c r="R50" s="3">
        <v>1</v>
      </c>
      <c r="S50" s="3">
        <f t="shared" si="8"/>
        <v>1</v>
      </c>
    </row>
    <row r="51" spans="1:19" ht="20" x14ac:dyDescent="0.35">
      <c r="A51" s="125" t="s">
        <v>167</v>
      </c>
      <c r="E51" s="113" t="s">
        <v>23</v>
      </c>
      <c r="N51" s="114">
        <v>287889</v>
      </c>
      <c r="O51" s="114">
        <v>13579</v>
      </c>
      <c r="P51" s="124">
        <f t="shared" si="7"/>
        <v>301468</v>
      </c>
      <c r="Q51" s="3">
        <v>11</v>
      </c>
      <c r="R51" s="3">
        <v>1</v>
      </c>
      <c r="S51" s="3">
        <f t="shared" si="8"/>
        <v>12</v>
      </c>
    </row>
    <row r="52" spans="1:19" ht="28.5" x14ac:dyDescent="0.35">
      <c r="A52" s="125" t="s">
        <v>136</v>
      </c>
      <c r="F52" s="36" t="s">
        <v>135</v>
      </c>
      <c r="G52" s="36" t="s">
        <v>135</v>
      </c>
      <c r="I52" s="36" t="s">
        <v>135</v>
      </c>
      <c r="J52" s="36" t="s">
        <v>135</v>
      </c>
      <c r="N52" s="114">
        <v>5863636</v>
      </c>
      <c r="O52" s="114">
        <v>0</v>
      </c>
      <c r="P52" s="124">
        <f t="shared" si="7"/>
        <v>5863636</v>
      </c>
      <c r="Q52" s="3">
        <v>1</v>
      </c>
      <c r="R52" s="3">
        <v>0</v>
      </c>
      <c r="S52" s="3">
        <f t="shared" si="8"/>
        <v>1</v>
      </c>
    </row>
    <row r="53" spans="1:19" x14ac:dyDescent="0.35">
      <c r="A53" s="125" t="s">
        <v>137</v>
      </c>
      <c r="E53" s="36" t="s">
        <v>135</v>
      </c>
      <c r="N53" s="114">
        <v>5572444</v>
      </c>
      <c r="O53" s="114">
        <v>0</v>
      </c>
      <c r="P53" s="124">
        <f t="shared" si="7"/>
        <v>5572444</v>
      </c>
      <c r="Q53" s="3">
        <v>11</v>
      </c>
      <c r="R53" s="3">
        <v>0</v>
      </c>
      <c r="S53" s="3">
        <f t="shared" si="8"/>
        <v>11</v>
      </c>
    </row>
    <row r="54" spans="1:19" ht="28.5" x14ac:dyDescent="0.35">
      <c r="A54" s="125" t="s">
        <v>138</v>
      </c>
      <c r="E54" s="36" t="s">
        <v>135</v>
      </c>
      <c r="N54" s="114">
        <v>5330000</v>
      </c>
      <c r="O54" s="114">
        <v>0</v>
      </c>
      <c r="P54" s="124">
        <f t="shared" si="7"/>
        <v>5330000</v>
      </c>
      <c r="Q54" s="3">
        <v>5</v>
      </c>
      <c r="R54" s="3">
        <v>0</v>
      </c>
      <c r="S54" s="3">
        <f t="shared" si="8"/>
        <v>5</v>
      </c>
    </row>
    <row r="55" spans="1:19" ht="28.5" x14ac:dyDescent="0.35">
      <c r="A55" s="125" t="s">
        <v>139</v>
      </c>
      <c r="E55" s="36" t="s">
        <v>135</v>
      </c>
      <c r="N55" s="114">
        <v>1670462</v>
      </c>
      <c r="O55" s="114">
        <v>0</v>
      </c>
      <c r="P55" s="124">
        <f t="shared" si="7"/>
        <v>1670462</v>
      </c>
      <c r="Q55" s="3">
        <v>9</v>
      </c>
      <c r="R55" s="3">
        <v>0</v>
      </c>
      <c r="S55" s="3">
        <f t="shared" si="8"/>
        <v>9</v>
      </c>
    </row>
    <row r="56" spans="1:19" x14ac:dyDescent="0.35">
      <c r="A56" s="125" t="s">
        <v>140</v>
      </c>
      <c r="E56" s="36" t="s">
        <v>135</v>
      </c>
      <c r="N56" s="114">
        <v>1670462</v>
      </c>
      <c r="O56" s="114">
        <v>0</v>
      </c>
      <c r="P56" s="124">
        <f t="shared" si="7"/>
        <v>1670462</v>
      </c>
      <c r="Q56" s="3">
        <v>18</v>
      </c>
      <c r="R56" s="3">
        <v>0</v>
      </c>
      <c r="S56" s="3">
        <f t="shared" si="8"/>
        <v>18</v>
      </c>
    </row>
    <row r="57" spans="1:19" x14ac:dyDescent="0.35">
      <c r="A57" s="125" t="s">
        <v>141</v>
      </c>
      <c r="E57" s="36" t="s">
        <v>135</v>
      </c>
      <c r="N57" s="115">
        <v>1163251</v>
      </c>
      <c r="O57" s="114">
        <v>0</v>
      </c>
      <c r="P57" s="124">
        <f t="shared" si="7"/>
        <v>1163251</v>
      </c>
      <c r="Q57" s="3">
        <v>10</v>
      </c>
      <c r="R57" s="3">
        <v>0</v>
      </c>
      <c r="S57" s="3">
        <f t="shared" si="8"/>
        <v>10</v>
      </c>
    </row>
    <row r="58" spans="1:19" x14ac:dyDescent="0.35">
      <c r="A58" s="125" t="s">
        <v>142</v>
      </c>
      <c r="E58" s="36" t="s">
        <v>135</v>
      </c>
      <c r="N58" s="115">
        <v>1044039</v>
      </c>
      <c r="O58" s="114">
        <v>0</v>
      </c>
      <c r="P58" s="124">
        <f t="shared" si="7"/>
        <v>1044039</v>
      </c>
      <c r="Q58" s="3">
        <v>9</v>
      </c>
      <c r="R58" s="3">
        <v>0</v>
      </c>
      <c r="S58" s="3">
        <f t="shared" si="8"/>
        <v>9</v>
      </c>
    </row>
    <row r="59" spans="1:19" x14ac:dyDescent="0.35">
      <c r="A59" s="125" t="s">
        <v>143</v>
      </c>
      <c r="E59" s="36" t="s">
        <v>135</v>
      </c>
      <c r="N59" s="115">
        <v>1044039</v>
      </c>
      <c r="O59" s="114">
        <v>0</v>
      </c>
      <c r="P59" s="124">
        <f t="shared" si="7"/>
        <v>1044039</v>
      </c>
      <c r="Q59" s="3">
        <v>9</v>
      </c>
      <c r="R59" s="3">
        <v>0</v>
      </c>
      <c r="S59" s="3">
        <f t="shared" si="8"/>
        <v>9</v>
      </c>
    </row>
    <row r="60" spans="1:19" x14ac:dyDescent="0.35">
      <c r="A60" s="125" t="s">
        <v>144</v>
      </c>
      <c r="E60" s="36"/>
      <c r="J60" s="36" t="s">
        <v>135</v>
      </c>
      <c r="N60" s="116">
        <v>1000000</v>
      </c>
      <c r="O60" s="114">
        <v>0</v>
      </c>
      <c r="P60" s="124">
        <f t="shared" si="7"/>
        <v>1000000</v>
      </c>
      <c r="Q60" s="3">
        <v>1</v>
      </c>
      <c r="R60" s="3">
        <v>0</v>
      </c>
      <c r="S60" s="3">
        <f t="shared" si="8"/>
        <v>1</v>
      </c>
    </row>
    <row r="61" spans="1:19" x14ac:dyDescent="0.35">
      <c r="A61" s="125" t="s">
        <v>145</v>
      </c>
      <c r="J61" s="36" t="s">
        <v>135</v>
      </c>
      <c r="N61" s="116">
        <v>1000000</v>
      </c>
      <c r="O61" s="114">
        <v>0</v>
      </c>
      <c r="P61" s="124">
        <f t="shared" si="7"/>
        <v>1000000</v>
      </c>
      <c r="Q61" s="3">
        <v>1</v>
      </c>
      <c r="R61" s="3">
        <v>0</v>
      </c>
      <c r="S61" s="3">
        <f t="shared" si="8"/>
        <v>1</v>
      </c>
    </row>
    <row r="62" spans="1:19" x14ac:dyDescent="0.35">
      <c r="A62" s="125" t="s">
        <v>146</v>
      </c>
      <c r="J62" s="36" t="s">
        <v>135</v>
      </c>
      <c r="N62" s="116">
        <v>1000000</v>
      </c>
      <c r="O62" s="114">
        <v>0</v>
      </c>
      <c r="P62" s="124">
        <f t="shared" si="7"/>
        <v>1000000</v>
      </c>
      <c r="Q62" s="3">
        <v>1</v>
      </c>
      <c r="R62" s="3">
        <v>0</v>
      </c>
      <c r="S62" s="3">
        <f t="shared" si="8"/>
        <v>1</v>
      </c>
    </row>
    <row r="63" spans="1:19" x14ac:dyDescent="0.35">
      <c r="A63" s="125" t="s">
        <v>147</v>
      </c>
      <c r="E63" s="36" t="s">
        <v>135</v>
      </c>
      <c r="N63" s="116">
        <v>877091</v>
      </c>
      <c r="O63" s="114">
        <v>0</v>
      </c>
      <c r="P63" s="124">
        <f t="shared" si="7"/>
        <v>877091</v>
      </c>
      <c r="Q63" s="3">
        <v>10</v>
      </c>
      <c r="R63" s="3">
        <v>0</v>
      </c>
      <c r="S63" s="3">
        <f t="shared" si="8"/>
        <v>10</v>
      </c>
    </row>
    <row r="64" spans="1:19" x14ac:dyDescent="0.35">
      <c r="A64" s="125" t="s">
        <v>148</v>
      </c>
      <c r="E64" s="36" t="s">
        <v>135</v>
      </c>
      <c r="N64" s="116">
        <v>835231</v>
      </c>
      <c r="O64" s="114">
        <v>0</v>
      </c>
      <c r="P64" s="124">
        <f t="shared" si="7"/>
        <v>835231</v>
      </c>
      <c r="Q64" s="3">
        <v>9</v>
      </c>
      <c r="R64" s="3">
        <v>0</v>
      </c>
      <c r="S64" s="3">
        <f t="shared" si="8"/>
        <v>9</v>
      </c>
    </row>
    <row r="65" spans="1:19" x14ac:dyDescent="0.35">
      <c r="A65" s="125" t="s">
        <v>149</v>
      </c>
      <c r="E65" s="36" t="s">
        <v>135</v>
      </c>
      <c r="N65" s="116">
        <v>835231</v>
      </c>
      <c r="O65" s="114">
        <v>0</v>
      </c>
      <c r="P65" s="124">
        <f t="shared" si="7"/>
        <v>835231</v>
      </c>
      <c r="Q65" s="3">
        <v>9</v>
      </c>
      <c r="R65" s="3">
        <v>0</v>
      </c>
      <c r="S65" s="3">
        <f t="shared" si="8"/>
        <v>9</v>
      </c>
    </row>
    <row r="66" spans="1:19" x14ac:dyDescent="0.35">
      <c r="A66" s="125" t="s">
        <v>150</v>
      </c>
      <c r="E66" s="36" t="s">
        <v>135</v>
      </c>
      <c r="N66" s="116">
        <v>835231</v>
      </c>
      <c r="O66" s="114">
        <v>0</v>
      </c>
      <c r="P66" s="124">
        <f t="shared" si="7"/>
        <v>835231</v>
      </c>
      <c r="Q66" s="3">
        <v>9</v>
      </c>
      <c r="R66" s="3">
        <v>0</v>
      </c>
      <c r="S66" s="3">
        <f t="shared" si="8"/>
        <v>9</v>
      </c>
    </row>
    <row r="67" spans="1:19" x14ac:dyDescent="0.35">
      <c r="A67" s="125" t="s">
        <v>151</v>
      </c>
      <c r="E67" s="36" t="s">
        <v>135</v>
      </c>
      <c r="N67" s="116">
        <v>835231</v>
      </c>
      <c r="O67" s="114">
        <v>0</v>
      </c>
      <c r="P67" s="124">
        <f t="shared" si="7"/>
        <v>835231</v>
      </c>
      <c r="Q67" s="3">
        <v>9</v>
      </c>
      <c r="R67" s="3">
        <v>0</v>
      </c>
      <c r="S67" s="3">
        <f t="shared" si="8"/>
        <v>9</v>
      </c>
    </row>
    <row r="68" spans="1:19" x14ac:dyDescent="0.35">
      <c r="A68" s="125" t="s">
        <v>152</v>
      </c>
      <c r="E68" s="36" t="s">
        <v>135</v>
      </c>
      <c r="N68" s="116">
        <v>835231</v>
      </c>
      <c r="O68" s="114">
        <v>0</v>
      </c>
      <c r="P68" s="124">
        <f t="shared" si="7"/>
        <v>835231</v>
      </c>
      <c r="Q68" s="3">
        <v>9</v>
      </c>
      <c r="R68" s="3">
        <v>0</v>
      </c>
      <c r="S68" s="3">
        <f t="shared" si="8"/>
        <v>9</v>
      </c>
    </row>
    <row r="69" spans="1:19" x14ac:dyDescent="0.35">
      <c r="A69" s="125" t="s">
        <v>153</v>
      </c>
      <c r="E69" s="36" t="s">
        <v>135</v>
      </c>
      <c r="N69" s="116">
        <v>835231</v>
      </c>
      <c r="O69" s="114">
        <v>0</v>
      </c>
      <c r="P69" s="124">
        <f t="shared" si="7"/>
        <v>835231</v>
      </c>
      <c r="Q69" s="3">
        <v>9</v>
      </c>
      <c r="R69" s="3">
        <v>0</v>
      </c>
      <c r="S69" s="3">
        <f t="shared" si="8"/>
        <v>9</v>
      </c>
    </row>
    <row r="70" spans="1:19" x14ac:dyDescent="0.35">
      <c r="A70" s="125" t="s">
        <v>154</v>
      </c>
      <c r="E70" s="36" t="s">
        <v>135</v>
      </c>
      <c r="N70" s="116">
        <v>835231</v>
      </c>
      <c r="O70" s="114">
        <v>0</v>
      </c>
      <c r="P70" s="124">
        <f t="shared" si="7"/>
        <v>835231</v>
      </c>
      <c r="Q70" s="3">
        <v>9</v>
      </c>
      <c r="R70" s="3">
        <v>0</v>
      </c>
      <c r="S70" s="3">
        <f t="shared" si="8"/>
        <v>9</v>
      </c>
    </row>
    <row r="71" spans="1:19" x14ac:dyDescent="0.35">
      <c r="A71" s="125" t="s">
        <v>155</v>
      </c>
      <c r="E71" s="36" t="s">
        <v>135</v>
      </c>
      <c r="N71" s="116">
        <v>835231</v>
      </c>
      <c r="O71" s="114">
        <v>0</v>
      </c>
      <c r="P71" s="124">
        <f t="shared" si="7"/>
        <v>835231</v>
      </c>
      <c r="Q71" s="3">
        <v>9</v>
      </c>
      <c r="R71" s="3">
        <v>0</v>
      </c>
      <c r="S71" s="3">
        <f t="shared" si="8"/>
        <v>9</v>
      </c>
    </row>
    <row r="72" spans="1:19" x14ac:dyDescent="0.35">
      <c r="A72" s="117" t="s">
        <v>156</v>
      </c>
      <c r="J72" s="36" t="s">
        <v>135</v>
      </c>
      <c r="N72" s="116">
        <v>549613</v>
      </c>
      <c r="O72" s="114">
        <v>0</v>
      </c>
      <c r="P72" s="124">
        <f t="shared" si="7"/>
        <v>549613</v>
      </c>
      <c r="Q72" s="3">
        <v>3</v>
      </c>
      <c r="R72" s="3">
        <v>0</v>
      </c>
      <c r="S72" s="3">
        <f t="shared" si="8"/>
        <v>3</v>
      </c>
    </row>
    <row r="73" spans="1:19" x14ac:dyDescent="0.35">
      <c r="A73" s="117" t="s">
        <v>157</v>
      </c>
      <c r="J73" s="36" t="s">
        <v>135</v>
      </c>
      <c r="N73" s="116">
        <v>528469</v>
      </c>
      <c r="O73" s="114">
        <v>0</v>
      </c>
      <c r="P73" s="124">
        <f t="shared" si="7"/>
        <v>528469</v>
      </c>
      <c r="Q73" s="3">
        <v>3</v>
      </c>
      <c r="R73" s="3">
        <v>0</v>
      </c>
      <c r="S73" s="3">
        <f t="shared" si="8"/>
        <v>3</v>
      </c>
    </row>
    <row r="74" spans="1:19" ht="29" x14ac:dyDescent="0.35">
      <c r="A74" s="118" t="s">
        <v>158</v>
      </c>
      <c r="I74" s="36" t="s">
        <v>135</v>
      </c>
      <c r="N74" s="116">
        <v>500000</v>
      </c>
      <c r="O74" s="114">
        <v>0</v>
      </c>
      <c r="P74" s="124">
        <f t="shared" si="7"/>
        <v>500000</v>
      </c>
      <c r="Q74" s="3">
        <v>1</v>
      </c>
      <c r="R74" s="3">
        <v>0</v>
      </c>
      <c r="S74" s="3">
        <f t="shared" si="8"/>
        <v>1</v>
      </c>
    </row>
    <row r="75" spans="1:19" x14ac:dyDescent="0.35">
      <c r="A75" s="125" t="s">
        <v>159</v>
      </c>
      <c r="J75" s="36" t="s">
        <v>135</v>
      </c>
      <c r="N75" s="116">
        <v>410798</v>
      </c>
      <c r="O75" s="114">
        <v>0</v>
      </c>
      <c r="P75" s="124">
        <f t="shared" si="7"/>
        <v>410798</v>
      </c>
      <c r="Q75" s="3">
        <v>1</v>
      </c>
      <c r="R75" s="3">
        <v>0</v>
      </c>
      <c r="S75" s="3">
        <f t="shared" si="8"/>
        <v>1</v>
      </c>
    </row>
    <row r="76" spans="1:19" x14ac:dyDescent="0.35">
      <c r="A76" s="125" t="s">
        <v>160</v>
      </c>
      <c r="J76" s="36" t="s">
        <v>135</v>
      </c>
      <c r="N76" s="116">
        <v>410776</v>
      </c>
      <c r="O76" s="114">
        <v>0</v>
      </c>
      <c r="P76" s="124">
        <f t="shared" si="7"/>
        <v>410776</v>
      </c>
      <c r="Q76" s="3">
        <v>2</v>
      </c>
      <c r="R76" s="3">
        <v>0</v>
      </c>
      <c r="S76" s="3">
        <f t="shared" si="8"/>
        <v>2</v>
      </c>
    </row>
    <row r="77" spans="1:19" ht="28.5" x14ac:dyDescent="0.35">
      <c r="A77" s="125" t="s">
        <v>161</v>
      </c>
      <c r="J77" s="36" t="s">
        <v>135</v>
      </c>
      <c r="N77" s="116">
        <v>410776</v>
      </c>
      <c r="O77" s="114">
        <v>0</v>
      </c>
      <c r="P77" s="124">
        <f t="shared" si="7"/>
        <v>410776</v>
      </c>
      <c r="Q77" s="3">
        <v>2</v>
      </c>
      <c r="R77" s="3">
        <v>0</v>
      </c>
      <c r="S77" s="3">
        <f t="shared" si="8"/>
        <v>2</v>
      </c>
    </row>
    <row r="78" spans="1:19" ht="28.5" x14ac:dyDescent="0.35">
      <c r="A78" s="125" t="s">
        <v>162</v>
      </c>
      <c r="J78" s="36" t="s">
        <v>135</v>
      </c>
      <c r="N78" s="116">
        <v>410776</v>
      </c>
      <c r="O78" s="114">
        <v>0</v>
      </c>
      <c r="P78" s="124">
        <f t="shared" si="7"/>
        <v>410776</v>
      </c>
      <c r="Q78" s="3">
        <v>2</v>
      </c>
      <c r="R78" s="3">
        <v>0</v>
      </c>
      <c r="S78" s="3">
        <f t="shared" si="8"/>
        <v>2</v>
      </c>
    </row>
    <row r="79" spans="1:19" x14ac:dyDescent="0.35">
      <c r="A79" s="125" t="s">
        <v>163</v>
      </c>
      <c r="J79" s="36" t="s">
        <v>135</v>
      </c>
      <c r="N79" s="116">
        <v>374638</v>
      </c>
      <c r="O79" s="114">
        <v>0</v>
      </c>
      <c r="P79" s="124">
        <f t="shared" si="7"/>
        <v>374638</v>
      </c>
      <c r="Q79" s="3">
        <v>2</v>
      </c>
      <c r="R79" s="3">
        <v>0</v>
      </c>
      <c r="S79" s="3">
        <f t="shared" si="8"/>
        <v>2</v>
      </c>
    </row>
    <row r="80" spans="1:19" x14ac:dyDescent="0.35">
      <c r="A80" s="125" t="s">
        <v>164</v>
      </c>
      <c r="E80" s="36" t="s">
        <v>135</v>
      </c>
      <c r="J80" s="36" t="s">
        <v>135</v>
      </c>
      <c r="K80" s="36" t="s">
        <v>135</v>
      </c>
      <c r="N80" s="116">
        <v>352435</v>
      </c>
      <c r="O80" s="114">
        <v>0</v>
      </c>
      <c r="P80" s="124">
        <f t="shared" si="7"/>
        <v>352435</v>
      </c>
      <c r="Q80" s="3">
        <v>3</v>
      </c>
      <c r="R80" s="3">
        <v>0</v>
      </c>
      <c r="S80" s="3">
        <f t="shared" si="8"/>
        <v>3</v>
      </c>
    </row>
    <row r="81" spans="1:19" x14ac:dyDescent="0.35">
      <c r="A81" s="125" t="s">
        <v>165</v>
      </c>
      <c r="E81" s="36" t="s">
        <v>135</v>
      </c>
      <c r="N81" s="116">
        <v>338408</v>
      </c>
      <c r="O81" s="114">
        <v>0</v>
      </c>
      <c r="P81" s="124">
        <f t="shared" si="7"/>
        <v>338408</v>
      </c>
      <c r="Q81" s="3">
        <v>10</v>
      </c>
      <c r="R81" s="3">
        <v>0</v>
      </c>
      <c r="S81" s="3">
        <f t="shared" si="8"/>
        <v>10</v>
      </c>
    </row>
    <row r="82" spans="1:19" ht="28.5" x14ac:dyDescent="0.35">
      <c r="A82" s="125" t="s">
        <v>166</v>
      </c>
      <c r="J82" s="36" t="s">
        <v>135</v>
      </c>
      <c r="N82" s="116">
        <v>308099</v>
      </c>
      <c r="O82" s="114">
        <v>0</v>
      </c>
      <c r="P82" s="124">
        <f t="shared" si="7"/>
        <v>308099</v>
      </c>
      <c r="Q82" s="3">
        <v>1</v>
      </c>
      <c r="R82" s="3">
        <v>0</v>
      </c>
      <c r="S82" s="3">
        <f t="shared" si="8"/>
        <v>1</v>
      </c>
    </row>
    <row r="83" spans="1:19" x14ac:dyDescent="0.35">
      <c r="A83" s="125" t="s">
        <v>168</v>
      </c>
      <c r="J83" s="36" t="s">
        <v>135</v>
      </c>
      <c r="K83" s="36" t="s">
        <v>135</v>
      </c>
      <c r="N83" s="114">
        <v>281800</v>
      </c>
      <c r="O83" s="114">
        <v>0</v>
      </c>
      <c r="P83" s="124">
        <f t="shared" si="7"/>
        <v>281800</v>
      </c>
      <c r="Q83" s="3">
        <v>3</v>
      </c>
      <c r="R83" s="3">
        <v>0</v>
      </c>
      <c r="S83" s="3">
        <f t="shared" si="8"/>
        <v>3</v>
      </c>
    </row>
    <row r="84" spans="1:19" ht="28.5" x14ac:dyDescent="0.35">
      <c r="A84" s="125" t="s">
        <v>169</v>
      </c>
      <c r="J84" s="36" t="s">
        <v>135</v>
      </c>
      <c r="N84" s="114">
        <v>246647</v>
      </c>
      <c r="O84" s="114">
        <v>0</v>
      </c>
      <c r="P84" s="124">
        <f t="shared" si="7"/>
        <v>246647</v>
      </c>
      <c r="Q84" s="3">
        <v>3</v>
      </c>
      <c r="R84" s="3">
        <v>0</v>
      </c>
      <c r="S84" s="3">
        <f t="shared" si="8"/>
        <v>3</v>
      </c>
    </row>
    <row r="85" spans="1:19" x14ac:dyDescent="0.35">
      <c r="A85" s="125" t="s">
        <v>170</v>
      </c>
      <c r="E85" s="36" t="s">
        <v>135</v>
      </c>
      <c r="N85" s="116">
        <v>208808</v>
      </c>
      <c r="O85" s="114">
        <v>0</v>
      </c>
      <c r="P85" s="124">
        <f t="shared" si="7"/>
        <v>208808</v>
      </c>
      <c r="Q85" s="3">
        <v>9</v>
      </c>
      <c r="R85" s="3">
        <v>0</v>
      </c>
      <c r="S85" s="3">
        <f t="shared" si="8"/>
        <v>9</v>
      </c>
    </row>
    <row r="86" spans="1:19" x14ac:dyDescent="0.35">
      <c r="A86" s="125" t="s">
        <v>171</v>
      </c>
      <c r="E86" s="36" t="s">
        <v>135</v>
      </c>
      <c r="N86" s="116">
        <v>208808</v>
      </c>
      <c r="O86" s="114">
        <v>0</v>
      </c>
      <c r="P86" s="124">
        <f t="shared" si="7"/>
        <v>208808</v>
      </c>
      <c r="Q86" s="3">
        <v>9</v>
      </c>
      <c r="R86" s="3">
        <v>0</v>
      </c>
      <c r="S86" s="3">
        <f t="shared" si="8"/>
        <v>9</v>
      </c>
    </row>
    <row r="87" spans="1:19" x14ac:dyDescent="0.35">
      <c r="A87" s="125" t="s">
        <v>172</v>
      </c>
      <c r="E87" s="36" t="s">
        <v>135</v>
      </c>
      <c r="N87" s="116">
        <v>208808</v>
      </c>
      <c r="O87" s="114">
        <v>0</v>
      </c>
      <c r="P87" s="124">
        <f t="shared" si="7"/>
        <v>208808</v>
      </c>
      <c r="Q87" s="3">
        <v>9</v>
      </c>
      <c r="R87" s="3">
        <v>0</v>
      </c>
      <c r="S87" s="3">
        <f t="shared" si="8"/>
        <v>9</v>
      </c>
    </row>
    <row r="88" spans="1:19" x14ac:dyDescent="0.35">
      <c r="A88" s="125" t="s">
        <v>173</v>
      </c>
      <c r="E88" s="36" t="s">
        <v>135</v>
      </c>
      <c r="N88" s="116">
        <v>208808</v>
      </c>
      <c r="O88" s="114">
        <v>0</v>
      </c>
      <c r="P88" s="124">
        <f t="shared" si="7"/>
        <v>208808</v>
      </c>
      <c r="Q88" s="3">
        <v>9</v>
      </c>
      <c r="R88" s="3">
        <v>0</v>
      </c>
      <c r="S88" s="3">
        <f t="shared" si="8"/>
        <v>9</v>
      </c>
    </row>
    <row r="89" spans="1:19" ht="28.5" x14ac:dyDescent="0.35">
      <c r="A89" s="125" t="s">
        <v>174</v>
      </c>
      <c r="K89" s="36" t="s">
        <v>135</v>
      </c>
      <c r="N89" s="116">
        <v>170558</v>
      </c>
      <c r="O89" s="114">
        <v>0</v>
      </c>
      <c r="P89" s="124">
        <f t="shared" si="7"/>
        <v>170558</v>
      </c>
      <c r="Q89" s="3">
        <v>2</v>
      </c>
      <c r="R89" s="3">
        <v>0</v>
      </c>
      <c r="S89" s="3">
        <f t="shared" si="8"/>
        <v>2</v>
      </c>
    </row>
    <row r="90" spans="1:19" ht="28.5" x14ac:dyDescent="0.35">
      <c r="A90" s="125" t="s">
        <v>175</v>
      </c>
      <c r="K90" s="36" t="s">
        <v>135</v>
      </c>
      <c r="N90" s="116">
        <v>142000</v>
      </c>
      <c r="O90" s="114">
        <v>0</v>
      </c>
      <c r="P90" s="124">
        <f t="shared" si="7"/>
        <v>142000</v>
      </c>
      <c r="Q90" s="3">
        <v>2</v>
      </c>
      <c r="R90" s="3">
        <v>0</v>
      </c>
      <c r="S90" s="3">
        <f t="shared" si="8"/>
        <v>2</v>
      </c>
    </row>
    <row r="91" spans="1:19" x14ac:dyDescent="0.35">
      <c r="A91" s="125" t="s">
        <v>182</v>
      </c>
      <c r="J91" s="36" t="s">
        <v>135</v>
      </c>
      <c r="K91" s="36" t="s">
        <v>135</v>
      </c>
      <c r="N91" s="116">
        <v>132460</v>
      </c>
      <c r="O91" s="114">
        <v>0</v>
      </c>
      <c r="P91" s="124">
        <f t="shared" si="7"/>
        <v>132460</v>
      </c>
      <c r="Q91" s="3">
        <v>2</v>
      </c>
      <c r="R91" s="3">
        <v>0</v>
      </c>
      <c r="S91" s="3">
        <f t="shared" si="8"/>
        <v>2</v>
      </c>
    </row>
    <row r="92" spans="1:19" ht="28.5" x14ac:dyDescent="0.35">
      <c r="A92" s="125" t="s">
        <v>176</v>
      </c>
      <c r="J92" s="36" t="s">
        <v>135</v>
      </c>
      <c r="N92" s="116">
        <v>128349</v>
      </c>
      <c r="O92" s="114">
        <v>0</v>
      </c>
      <c r="P92" s="124">
        <f t="shared" si="7"/>
        <v>128349</v>
      </c>
      <c r="Q92" s="3">
        <v>1</v>
      </c>
      <c r="R92" s="3">
        <v>0</v>
      </c>
      <c r="S92" s="3">
        <f t="shared" si="8"/>
        <v>1</v>
      </c>
    </row>
    <row r="93" spans="1:19" x14ac:dyDescent="0.35">
      <c r="A93" s="125" t="s">
        <v>177</v>
      </c>
      <c r="E93" s="36" t="s">
        <v>135</v>
      </c>
      <c r="N93" s="116">
        <v>118005</v>
      </c>
      <c r="O93" s="114">
        <v>0</v>
      </c>
      <c r="P93" s="124">
        <f t="shared" si="7"/>
        <v>118005</v>
      </c>
      <c r="Q93" s="3">
        <v>3</v>
      </c>
      <c r="R93" s="3">
        <v>0</v>
      </c>
      <c r="S93" s="3">
        <f t="shared" si="8"/>
        <v>3</v>
      </c>
    </row>
    <row r="94" spans="1:19" x14ac:dyDescent="0.35">
      <c r="A94" s="125" t="s">
        <v>178</v>
      </c>
      <c r="J94" s="36" t="s">
        <v>135</v>
      </c>
      <c r="N94" s="116">
        <v>108414</v>
      </c>
      <c r="O94" s="114">
        <v>0</v>
      </c>
      <c r="P94" s="124">
        <f t="shared" si="7"/>
        <v>108414</v>
      </c>
      <c r="Q94" s="3">
        <v>1</v>
      </c>
      <c r="R94" s="3">
        <v>0</v>
      </c>
      <c r="S94" s="3">
        <f t="shared" si="8"/>
        <v>1</v>
      </c>
    </row>
    <row r="95" spans="1:19" ht="28.5" x14ac:dyDescent="0.35">
      <c r="A95" s="125" t="s">
        <v>179</v>
      </c>
      <c r="J95" s="36" t="s">
        <v>135</v>
      </c>
      <c r="N95" s="116">
        <v>102700</v>
      </c>
      <c r="O95" s="114">
        <v>0</v>
      </c>
      <c r="P95" s="124">
        <f t="shared" ref="P95:P115" si="9">SUM(N95:O95)</f>
        <v>102700</v>
      </c>
      <c r="Q95" s="3">
        <v>1</v>
      </c>
      <c r="R95" s="3">
        <v>0</v>
      </c>
      <c r="S95" s="3">
        <f t="shared" ref="S95:S115" si="10">SUM(Q95:R95)</f>
        <v>1</v>
      </c>
    </row>
    <row r="96" spans="1:19" x14ac:dyDescent="0.35">
      <c r="A96" s="125" t="s">
        <v>180</v>
      </c>
      <c r="J96" s="36" t="s">
        <v>135</v>
      </c>
      <c r="N96" s="116">
        <v>102700</v>
      </c>
      <c r="O96" s="114">
        <v>0</v>
      </c>
      <c r="P96" s="124">
        <f t="shared" si="9"/>
        <v>102700</v>
      </c>
      <c r="Q96" s="3">
        <v>1</v>
      </c>
      <c r="R96" s="3">
        <v>0</v>
      </c>
      <c r="S96" s="3">
        <f t="shared" si="10"/>
        <v>1</v>
      </c>
    </row>
    <row r="97" spans="1:19" x14ac:dyDescent="0.35">
      <c r="A97" s="125" t="s">
        <v>181</v>
      </c>
      <c r="J97" s="36" t="s">
        <v>135</v>
      </c>
      <c r="N97" s="116">
        <v>102700</v>
      </c>
      <c r="O97" s="114">
        <v>0</v>
      </c>
      <c r="P97" s="124">
        <f t="shared" si="9"/>
        <v>102700</v>
      </c>
      <c r="Q97" s="3">
        <v>1</v>
      </c>
      <c r="R97" s="3">
        <v>0</v>
      </c>
      <c r="S97" s="3">
        <f t="shared" si="10"/>
        <v>1</v>
      </c>
    </row>
    <row r="98" spans="1:19" ht="28.5" x14ac:dyDescent="0.35">
      <c r="A98" s="125" t="s">
        <v>183</v>
      </c>
      <c r="J98" s="36" t="s">
        <v>135</v>
      </c>
      <c r="N98" s="114">
        <v>93809</v>
      </c>
      <c r="O98" s="114">
        <v>0</v>
      </c>
      <c r="P98" s="124">
        <f t="shared" si="9"/>
        <v>93809</v>
      </c>
      <c r="Q98" s="3">
        <v>1</v>
      </c>
      <c r="R98" s="3">
        <v>0</v>
      </c>
      <c r="S98" s="3">
        <f t="shared" si="10"/>
        <v>1</v>
      </c>
    </row>
    <row r="99" spans="1:19" x14ac:dyDescent="0.35">
      <c r="A99" s="125" t="s">
        <v>184</v>
      </c>
      <c r="J99" s="36" t="s">
        <v>135</v>
      </c>
      <c r="N99" s="116">
        <v>87270</v>
      </c>
      <c r="O99" s="114">
        <v>0</v>
      </c>
      <c r="P99" s="124">
        <f t="shared" si="9"/>
        <v>87270</v>
      </c>
      <c r="Q99" s="3">
        <v>1</v>
      </c>
      <c r="R99" s="3">
        <v>0</v>
      </c>
      <c r="S99" s="3">
        <f t="shared" si="10"/>
        <v>1</v>
      </c>
    </row>
    <row r="100" spans="1:19" x14ac:dyDescent="0.35">
      <c r="A100" s="125" t="s">
        <v>185</v>
      </c>
      <c r="J100" s="36" t="s">
        <v>135</v>
      </c>
      <c r="N100" s="116">
        <v>87270</v>
      </c>
      <c r="O100" s="114">
        <v>0</v>
      </c>
      <c r="P100" s="124">
        <f t="shared" si="9"/>
        <v>87270</v>
      </c>
      <c r="Q100" s="3">
        <v>1</v>
      </c>
      <c r="R100" s="3">
        <v>0</v>
      </c>
      <c r="S100" s="3">
        <f t="shared" si="10"/>
        <v>1</v>
      </c>
    </row>
    <row r="101" spans="1:19" x14ac:dyDescent="0.35">
      <c r="A101" s="125" t="s">
        <v>186</v>
      </c>
      <c r="J101" s="36" t="s">
        <v>135</v>
      </c>
      <c r="N101" s="116">
        <v>87270</v>
      </c>
      <c r="O101" s="114">
        <v>0</v>
      </c>
      <c r="P101" s="124">
        <f t="shared" si="9"/>
        <v>87270</v>
      </c>
      <c r="Q101" s="3">
        <v>1</v>
      </c>
      <c r="R101" s="3">
        <v>0</v>
      </c>
      <c r="S101" s="3">
        <f t="shared" si="10"/>
        <v>1</v>
      </c>
    </row>
    <row r="102" spans="1:19" ht="42.5" x14ac:dyDescent="0.35">
      <c r="A102" s="125" t="s">
        <v>187</v>
      </c>
      <c r="K102" s="36" t="s">
        <v>135</v>
      </c>
      <c r="N102" s="116">
        <v>86800</v>
      </c>
      <c r="O102" s="114">
        <v>0</v>
      </c>
      <c r="P102" s="124">
        <f t="shared" si="9"/>
        <v>86800</v>
      </c>
      <c r="Q102" s="3">
        <v>1</v>
      </c>
      <c r="R102" s="3">
        <v>0</v>
      </c>
      <c r="S102" s="3">
        <f t="shared" si="10"/>
        <v>1</v>
      </c>
    </row>
    <row r="103" spans="1:19" x14ac:dyDescent="0.35">
      <c r="A103" s="125" t="s">
        <v>188</v>
      </c>
      <c r="J103" s="36" t="s">
        <v>135</v>
      </c>
      <c r="N103" s="116">
        <v>72276</v>
      </c>
      <c r="O103" s="114">
        <v>0</v>
      </c>
      <c r="P103" s="124">
        <f t="shared" si="9"/>
        <v>72276</v>
      </c>
      <c r="Q103" s="3">
        <v>1</v>
      </c>
      <c r="R103" s="3">
        <v>0</v>
      </c>
      <c r="S103" s="3">
        <f t="shared" si="10"/>
        <v>1</v>
      </c>
    </row>
    <row r="104" spans="1:19" ht="28.5" x14ac:dyDescent="0.35">
      <c r="A104" s="125" t="s">
        <v>189</v>
      </c>
      <c r="J104" s="36" t="s">
        <v>135</v>
      </c>
      <c r="K104" s="36" t="s">
        <v>135</v>
      </c>
      <c r="N104" s="116">
        <v>7500</v>
      </c>
      <c r="O104" s="114">
        <v>0</v>
      </c>
      <c r="P104" s="124">
        <f t="shared" si="9"/>
        <v>7500</v>
      </c>
      <c r="Q104" s="3">
        <v>3</v>
      </c>
      <c r="R104" s="3">
        <v>0</v>
      </c>
      <c r="S104" s="3">
        <f t="shared" si="10"/>
        <v>3</v>
      </c>
    </row>
    <row r="105" spans="1:19" x14ac:dyDescent="0.35">
      <c r="A105" s="125" t="s">
        <v>190</v>
      </c>
      <c r="E105" s="36" t="s">
        <v>135</v>
      </c>
      <c r="K105" s="36" t="s">
        <v>135</v>
      </c>
      <c r="N105" s="116">
        <v>60000</v>
      </c>
      <c r="O105" s="114">
        <v>0</v>
      </c>
      <c r="P105" s="124">
        <f t="shared" si="9"/>
        <v>60000</v>
      </c>
      <c r="Q105" s="3">
        <v>1</v>
      </c>
      <c r="R105" s="3">
        <v>0</v>
      </c>
      <c r="S105" s="3">
        <f t="shared" si="10"/>
        <v>1</v>
      </c>
    </row>
    <row r="106" spans="1:19" ht="28.5" x14ac:dyDescent="0.35">
      <c r="A106" s="125" t="s">
        <v>191</v>
      </c>
      <c r="J106" s="36" t="s">
        <v>135</v>
      </c>
      <c r="N106" s="116">
        <v>41080</v>
      </c>
      <c r="O106" s="114">
        <v>0</v>
      </c>
      <c r="P106" s="124">
        <f t="shared" si="9"/>
        <v>41080</v>
      </c>
      <c r="Q106" s="3">
        <v>1</v>
      </c>
      <c r="R106" s="3">
        <v>0</v>
      </c>
      <c r="S106" s="3">
        <f t="shared" si="10"/>
        <v>1</v>
      </c>
    </row>
    <row r="107" spans="1:19" x14ac:dyDescent="0.35">
      <c r="A107" s="125" t="s">
        <v>192</v>
      </c>
      <c r="J107" s="36" t="s">
        <v>135</v>
      </c>
      <c r="N107" s="116">
        <v>41080</v>
      </c>
      <c r="O107" s="114">
        <v>0</v>
      </c>
      <c r="P107" s="124">
        <f t="shared" si="9"/>
        <v>41080</v>
      </c>
      <c r="Q107" s="3">
        <v>1</v>
      </c>
      <c r="R107" s="3">
        <v>0</v>
      </c>
      <c r="S107" s="3">
        <f t="shared" si="10"/>
        <v>1</v>
      </c>
    </row>
    <row r="108" spans="1:19" x14ac:dyDescent="0.35">
      <c r="A108" s="125" t="s">
        <v>193</v>
      </c>
      <c r="J108" s="36" t="s">
        <v>135</v>
      </c>
      <c r="N108" s="116">
        <v>41080</v>
      </c>
      <c r="O108" s="114">
        <v>0</v>
      </c>
      <c r="P108" s="124">
        <f t="shared" si="9"/>
        <v>41080</v>
      </c>
      <c r="Q108" s="3">
        <v>1</v>
      </c>
      <c r="R108" s="3">
        <v>0</v>
      </c>
      <c r="S108" s="3">
        <f t="shared" si="10"/>
        <v>1</v>
      </c>
    </row>
    <row r="109" spans="1:19" x14ac:dyDescent="0.35">
      <c r="A109" s="125" t="s">
        <v>194</v>
      </c>
      <c r="J109" s="36" t="s">
        <v>135</v>
      </c>
      <c r="N109" s="116">
        <v>41080</v>
      </c>
      <c r="O109" s="114">
        <v>0</v>
      </c>
      <c r="P109" s="124">
        <f t="shared" si="9"/>
        <v>41080</v>
      </c>
      <c r="Q109" s="3">
        <v>1</v>
      </c>
      <c r="R109" s="3">
        <v>0</v>
      </c>
      <c r="S109" s="3">
        <f t="shared" si="10"/>
        <v>1</v>
      </c>
    </row>
    <row r="110" spans="1:19" x14ac:dyDescent="0.35">
      <c r="A110" s="125" t="s">
        <v>195</v>
      </c>
      <c r="J110" s="36" t="s">
        <v>135</v>
      </c>
      <c r="N110" s="116">
        <v>41080</v>
      </c>
      <c r="O110" s="114">
        <v>0</v>
      </c>
      <c r="P110" s="124">
        <f t="shared" si="9"/>
        <v>41080</v>
      </c>
      <c r="Q110" s="3">
        <v>1</v>
      </c>
      <c r="R110" s="3">
        <v>0</v>
      </c>
      <c r="S110" s="3">
        <f t="shared" si="10"/>
        <v>1</v>
      </c>
    </row>
    <row r="111" spans="1:19" x14ac:dyDescent="0.35">
      <c r="A111" s="125" t="s">
        <v>196</v>
      </c>
      <c r="J111" s="36" t="s">
        <v>135</v>
      </c>
      <c r="N111" s="116">
        <v>41080</v>
      </c>
      <c r="O111" s="114">
        <v>0</v>
      </c>
      <c r="P111" s="124">
        <f t="shared" si="9"/>
        <v>41080</v>
      </c>
      <c r="Q111" s="3">
        <v>1</v>
      </c>
      <c r="R111" s="3">
        <v>0</v>
      </c>
      <c r="S111" s="3">
        <f t="shared" si="10"/>
        <v>1</v>
      </c>
    </row>
    <row r="112" spans="1:19" x14ac:dyDescent="0.35">
      <c r="A112" s="125" t="s">
        <v>197</v>
      </c>
      <c r="J112" s="36" t="s">
        <v>135</v>
      </c>
      <c r="N112" s="116">
        <v>41080</v>
      </c>
      <c r="O112" s="114">
        <v>0</v>
      </c>
      <c r="P112" s="124">
        <f t="shared" si="9"/>
        <v>41080</v>
      </c>
      <c r="Q112" s="3">
        <v>1</v>
      </c>
      <c r="R112" s="3">
        <v>0</v>
      </c>
      <c r="S112" s="3">
        <f t="shared" si="10"/>
        <v>1</v>
      </c>
    </row>
    <row r="113" spans="1:19" ht="28.5" x14ac:dyDescent="0.35">
      <c r="A113" s="125" t="s">
        <v>198</v>
      </c>
      <c r="K113" s="36" t="s">
        <v>135</v>
      </c>
      <c r="N113" s="116">
        <v>29760</v>
      </c>
      <c r="O113" s="114">
        <v>0</v>
      </c>
      <c r="P113" s="124">
        <f t="shared" si="9"/>
        <v>29760</v>
      </c>
      <c r="Q113" s="3">
        <v>1</v>
      </c>
      <c r="R113" s="3">
        <v>0</v>
      </c>
      <c r="S113" s="3">
        <f t="shared" si="10"/>
        <v>1</v>
      </c>
    </row>
    <row r="114" spans="1:19" x14ac:dyDescent="0.35">
      <c r="A114" s="125" t="s">
        <v>199</v>
      </c>
      <c r="J114" s="36" t="s">
        <v>135</v>
      </c>
      <c r="N114" s="114">
        <v>27339</v>
      </c>
      <c r="O114" s="114">
        <v>0</v>
      </c>
      <c r="P114" s="124">
        <f t="shared" si="9"/>
        <v>27339</v>
      </c>
      <c r="Q114" s="3">
        <v>1</v>
      </c>
      <c r="R114" s="3">
        <v>0</v>
      </c>
      <c r="S114" s="3">
        <f t="shared" si="10"/>
        <v>1</v>
      </c>
    </row>
    <row r="115" spans="1:19" x14ac:dyDescent="0.35">
      <c r="A115" s="125" t="s">
        <v>200</v>
      </c>
      <c r="E115" s="36" t="s">
        <v>135</v>
      </c>
      <c r="N115" s="114">
        <v>20930</v>
      </c>
      <c r="O115" s="114">
        <v>0</v>
      </c>
      <c r="P115" s="124">
        <f t="shared" si="9"/>
        <v>20930</v>
      </c>
      <c r="Q115" s="3">
        <v>1</v>
      </c>
      <c r="R115" s="3">
        <v>0</v>
      </c>
      <c r="S115" s="3">
        <f t="shared" si="10"/>
        <v>1</v>
      </c>
    </row>
  </sheetData>
  <autoFilter ref="A2:Z22" xr:uid="{8060A239-2CFA-4A04-BD22-E8DE9BCA6DE3}"/>
  <mergeCells count="3">
    <mergeCell ref="B1:D1"/>
    <mergeCell ref="E1:S1"/>
    <mergeCell ref="V1:Y1"/>
  </mergeCells>
  <printOptions horizontalCentered="1"/>
  <pageMargins left="0.45" right="0.45" top="0.5" bottom="0.5" header="0.3" footer="0.3"/>
  <pageSetup scale="75" fitToHeight="0" orientation="landscape" r:id="rId1"/>
  <headerFooter>
    <oddFooter>&amp;Z&amp;F</oddFooter>
  </headerFooter>
  <ignoredErrors>
    <ignoredError sqref="W12 W21" formula="1"/>
  </ignoredError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A946708-6744-47C3-8469-C71B2C0B2341}">
          <x14:formula1>
            <xm:f>Rubric!$G$11:$G$15</xm:f>
          </x14:formula1>
          <xm:sqref>U3:U27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2020F-A2E1-407E-8751-2051260C7888}">
  <dimension ref="A1:K15"/>
  <sheetViews>
    <sheetView zoomScaleNormal="100" workbookViewId="0">
      <selection activeCell="K12" sqref="K12"/>
    </sheetView>
  </sheetViews>
  <sheetFormatPr defaultRowHeight="14.5" x14ac:dyDescent="0.35"/>
  <cols>
    <col min="1" max="1" width="6.26953125" customWidth="1"/>
    <col min="2" max="2" width="31.1796875" style="1" customWidth="1"/>
    <col min="3" max="3" width="3.7265625" customWidth="1"/>
    <col min="4" max="4" width="6.26953125" customWidth="1"/>
    <col min="5" max="5" width="33.26953125" customWidth="1"/>
    <col min="6" max="6" width="3.7265625" customWidth="1"/>
    <col min="7" max="7" width="6.26953125" customWidth="1"/>
    <col min="8" max="8" width="36.1796875" customWidth="1"/>
    <col min="9" max="9" width="34.54296875" customWidth="1"/>
    <col min="10" max="10" width="6.26953125" customWidth="1"/>
    <col min="11" max="11" width="36.1796875" customWidth="1"/>
  </cols>
  <sheetData>
    <row r="1" spans="1:11" s="16" customFormat="1" ht="26.25" customHeight="1" x14ac:dyDescent="0.35">
      <c r="A1" s="34" t="s">
        <v>8</v>
      </c>
      <c r="B1" s="17"/>
      <c r="D1" s="35"/>
      <c r="G1" s="35"/>
      <c r="J1" s="35"/>
    </row>
    <row r="2" spans="1:11" s="32" customFormat="1" ht="27" customHeight="1" x14ac:dyDescent="0.35">
      <c r="B2" s="33" t="s">
        <v>57</v>
      </c>
      <c r="E2" s="33" t="s">
        <v>57</v>
      </c>
      <c r="H2" s="33" t="s">
        <v>57</v>
      </c>
    </row>
    <row r="3" spans="1:11" s="22" customFormat="1" ht="29" x14ac:dyDescent="0.35">
      <c r="A3" s="20"/>
      <c r="B3" s="21" t="s">
        <v>29</v>
      </c>
      <c r="C3" s="23"/>
      <c r="D3" s="20"/>
      <c r="E3" s="21" t="s">
        <v>10</v>
      </c>
      <c r="F3" s="23"/>
      <c r="G3" s="20"/>
      <c r="H3" s="20" t="s">
        <v>1</v>
      </c>
      <c r="I3" s="30"/>
      <c r="J3" s="30"/>
      <c r="K3" s="30"/>
    </row>
    <row r="4" spans="1:11" ht="46.5" customHeight="1" x14ac:dyDescent="0.35">
      <c r="A4" s="2">
        <v>5</v>
      </c>
      <c r="B4" s="19" t="s">
        <v>48</v>
      </c>
      <c r="C4" s="18"/>
      <c r="D4" s="2">
        <v>5</v>
      </c>
      <c r="E4" s="19" t="s">
        <v>62</v>
      </c>
      <c r="F4" s="18"/>
      <c r="G4" s="2">
        <v>5</v>
      </c>
      <c r="H4" s="19" t="s">
        <v>94</v>
      </c>
      <c r="I4" s="18"/>
      <c r="J4" s="18"/>
      <c r="K4" s="31"/>
    </row>
    <row r="5" spans="1:11" ht="29" x14ac:dyDescent="0.35">
      <c r="A5" s="2">
        <v>4</v>
      </c>
      <c r="B5" s="19" t="s">
        <v>49</v>
      </c>
      <c r="C5" s="18"/>
      <c r="D5" s="2">
        <v>4</v>
      </c>
      <c r="E5" s="19" t="s">
        <v>61</v>
      </c>
      <c r="F5" s="18"/>
      <c r="G5" s="2">
        <v>4</v>
      </c>
      <c r="H5" s="19" t="s">
        <v>95</v>
      </c>
      <c r="I5" s="18"/>
      <c r="J5" s="18"/>
      <c r="K5" s="31"/>
    </row>
    <row r="6" spans="1:11" ht="43.5" x14ac:dyDescent="0.35">
      <c r="A6" s="2">
        <v>3</v>
      </c>
      <c r="B6" s="19" t="s">
        <v>50</v>
      </c>
      <c r="C6" s="18"/>
      <c r="D6" s="2">
        <v>3</v>
      </c>
      <c r="E6" s="19" t="s">
        <v>60</v>
      </c>
      <c r="F6" s="18"/>
      <c r="G6" s="2">
        <v>3</v>
      </c>
      <c r="H6" s="19" t="s">
        <v>91</v>
      </c>
      <c r="I6" s="18"/>
      <c r="J6" s="18"/>
      <c r="K6" s="31"/>
    </row>
    <row r="7" spans="1:11" ht="29" x14ac:dyDescent="0.35">
      <c r="A7" s="2">
        <v>2</v>
      </c>
      <c r="B7" s="19" t="s">
        <v>51</v>
      </c>
      <c r="C7" s="18"/>
      <c r="D7" s="2">
        <v>2</v>
      </c>
      <c r="E7" s="19" t="s">
        <v>59</v>
      </c>
      <c r="F7" s="18"/>
      <c r="G7" s="2">
        <v>2</v>
      </c>
      <c r="H7" s="19" t="s">
        <v>92</v>
      </c>
      <c r="I7" s="18"/>
      <c r="J7" s="18"/>
      <c r="K7" s="31"/>
    </row>
    <row r="8" spans="1:11" ht="29" x14ac:dyDescent="0.35">
      <c r="A8" s="2">
        <v>1</v>
      </c>
      <c r="B8" s="19" t="s">
        <v>26</v>
      </c>
      <c r="C8" s="18"/>
      <c r="D8" s="2">
        <v>1</v>
      </c>
      <c r="E8" s="19" t="s">
        <v>58</v>
      </c>
      <c r="F8" s="18"/>
      <c r="G8" s="2">
        <v>1</v>
      </c>
      <c r="H8" s="19" t="s">
        <v>93</v>
      </c>
      <c r="I8" s="18"/>
      <c r="J8" s="18"/>
      <c r="K8" s="31"/>
    </row>
    <row r="10" spans="1:11" x14ac:dyDescent="0.35">
      <c r="G10" s="140" t="s">
        <v>96</v>
      </c>
      <c r="H10" s="140"/>
    </row>
    <row r="11" spans="1:11" x14ac:dyDescent="0.35">
      <c r="G11">
        <v>1</v>
      </c>
      <c r="H11" t="s">
        <v>101</v>
      </c>
    </row>
    <row r="12" spans="1:11" x14ac:dyDescent="0.35">
      <c r="G12">
        <v>2</v>
      </c>
      <c r="H12" t="s">
        <v>98</v>
      </c>
    </row>
    <row r="13" spans="1:11" x14ac:dyDescent="0.35">
      <c r="G13">
        <v>3</v>
      </c>
      <c r="H13" t="s">
        <v>99</v>
      </c>
    </row>
    <row r="14" spans="1:11" x14ac:dyDescent="0.35">
      <c r="G14">
        <v>4</v>
      </c>
      <c r="H14" t="s">
        <v>97</v>
      </c>
    </row>
    <row r="15" spans="1:11" x14ac:dyDescent="0.35">
      <c r="G15">
        <v>5</v>
      </c>
      <c r="H15" t="s">
        <v>100</v>
      </c>
    </row>
  </sheetData>
  <mergeCells count="1">
    <mergeCell ref="G10:H10"/>
  </mergeCells>
  <pageMargins left="0.2" right="0.2" top="0.5" bottom="0.5" header="0.3" footer="0.3"/>
  <pageSetup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A616E-5CB4-4C23-BA1A-CBFC74E14847}">
  <dimension ref="A1:G29"/>
  <sheetViews>
    <sheetView workbookViewId="0">
      <selection activeCell="J14" sqref="J14"/>
    </sheetView>
  </sheetViews>
  <sheetFormatPr defaultRowHeight="14.5" x14ac:dyDescent="0.35"/>
  <cols>
    <col min="1" max="1" width="38.1796875" customWidth="1"/>
    <col min="6" max="6" width="16.26953125" customWidth="1"/>
    <col min="7" max="7" width="11.26953125" customWidth="1"/>
  </cols>
  <sheetData>
    <row r="1" spans="1:7" x14ac:dyDescent="0.35">
      <c r="A1" t="s">
        <v>68</v>
      </c>
    </row>
    <row r="2" spans="1:7" ht="26" x14ac:dyDescent="0.35">
      <c r="A2" s="61" t="s">
        <v>0</v>
      </c>
      <c r="B2" s="62" t="s">
        <v>69</v>
      </c>
      <c r="C2" s="62" t="s">
        <v>70</v>
      </c>
      <c r="D2" s="62" t="s">
        <v>71</v>
      </c>
    </row>
    <row r="3" spans="1:7" x14ac:dyDescent="0.35">
      <c r="A3" s="63" t="s">
        <v>72</v>
      </c>
      <c r="B3" s="64">
        <v>0.1</v>
      </c>
      <c r="C3" s="65">
        <v>771332</v>
      </c>
      <c r="D3" s="65">
        <v>992471</v>
      </c>
      <c r="F3" s="66" t="s">
        <v>73</v>
      </c>
      <c r="G3">
        <v>3</v>
      </c>
    </row>
    <row r="4" spans="1:7" x14ac:dyDescent="0.35">
      <c r="A4" s="67" t="s">
        <v>74</v>
      </c>
      <c r="B4" s="64">
        <v>0.1</v>
      </c>
      <c r="C4" s="65">
        <v>440250</v>
      </c>
      <c r="D4" s="65">
        <v>605651</v>
      </c>
      <c r="F4" t="s">
        <v>75</v>
      </c>
      <c r="G4">
        <v>3</v>
      </c>
    </row>
    <row r="5" spans="1:7" x14ac:dyDescent="0.35">
      <c r="A5" s="67" t="s">
        <v>76</v>
      </c>
      <c r="B5" s="64">
        <v>0.1</v>
      </c>
      <c r="C5" s="65">
        <v>245845</v>
      </c>
      <c r="D5" s="65">
        <v>604150</v>
      </c>
      <c r="F5" t="s">
        <v>77</v>
      </c>
      <c r="G5">
        <v>4</v>
      </c>
    </row>
    <row r="6" spans="1:7" x14ac:dyDescent="0.35">
      <c r="A6" s="67" t="s">
        <v>12</v>
      </c>
      <c r="B6" s="64">
        <v>0.1</v>
      </c>
      <c r="C6" s="65">
        <v>335722</v>
      </c>
      <c r="D6" s="65">
        <v>427008</v>
      </c>
      <c r="F6" t="s">
        <v>78</v>
      </c>
      <c r="G6">
        <v>1</v>
      </c>
    </row>
    <row r="7" spans="1:7" x14ac:dyDescent="0.35">
      <c r="A7" s="67" t="s">
        <v>4</v>
      </c>
      <c r="B7" s="64">
        <v>0.1</v>
      </c>
      <c r="C7" s="65">
        <v>313320</v>
      </c>
      <c r="D7" s="65">
        <v>400618</v>
      </c>
      <c r="F7" t="s">
        <v>47</v>
      </c>
      <c r="G7">
        <v>0</v>
      </c>
    </row>
    <row r="8" spans="1:7" x14ac:dyDescent="0.35">
      <c r="A8" s="67" t="s">
        <v>79</v>
      </c>
      <c r="B8" s="64">
        <v>0.1</v>
      </c>
      <c r="C8" s="65">
        <v>282129</v>
      </c>
      <c r="D8" s="65">
        <v>393204</v>
      </c>
    </row>
    <row r="9" spans="1:7" x14ac:dyDescent="0.35">
      <c r="A9" s="67" t="s">
        <v>80</v>
      </c>
      <c r="B9" s="64">
        <v>0</v>
      </c>
      <c r="C9" s="65">
        <v>205051</v>
      </c>
      <c r="D9" s="65">
        <v>294188</v>
      </c>
    </row>
    <row r="10" spans="1:7" x14ac:dyDescent="0.35">
      <c r="A10" s="67" t="s">
        <v>3</v>
      </c>
      <c r="B10" s="64">
        <v>0.1</v>
      </c>
      <c r="C10" s="65">
        <v>224388</v>
      </c>
      <c r="D10" s="65">
        <v>272468</v>
      </c>
    </row>
    <row r="11" spans="1:7" x14ac:dyDescent="0.35">
      <c r="A11" s="67" t="s">
        <v>81</v>
      </c>
      <c r="B11" s="64">
        <v>0.1</v>
      </c>
      <c r="C11" s="65">
        <v>107162</v>
      </c>
      <c r="D11" s="65">
        <v>161947</v>
      </c>
    </row>
    <row r="12" spans="1:7" x14ac:dyDescent="0.35">
      <c r="A12" s="67" t="s">
        <v>82</v>
      </c>
      <c r="B12" s="64">
        <v>0.1</v>
      </c>
      <c r="C12" s="65">
        <v>103892</v>
      </c>
      <c r="D12" s="65">
        <v>140307</v>
      </c>
    </row>
    <row r="13" spans="1:7" x14ac:dyDescent="0.35">
      <c r="A13" s="67" t="s">
        <v>83</v>
      </c>
      <c r="B13" s="64">
        <v>0.1</v>
      </c>
      <c r="C13" s="65">
        <v>78769</v>
      </c>
      <c r="D13" s="65">
        <v>94891</v>
      </c>
    </row>
    <row r="16" spans="1:7" x14ac:dyDescent="0.35">
      <c r="A16" s="68" t="s">
        <v>84</v>
      </c>
    </row>
    <row r="17" spans="1:7" ht="26" x14ac:dyDescent="0.35">
      <c r="A17" s="61" t="s">
        <v>0</v>
      </c>
      <c r="B17" s="62" t="s">
        <v>69</v>
      </c>
      <c r="C17" s="62" t="s">
        <v>70</v>
      </c>
      <c r="D17" s="62" t="s">
        <v>71</v>
      </c>
    </row>
    <row r="18" spans="1:7" x14ac:dyDescent="0.35">
      <c r="A18" s="63" t="s">
        <v>72</v>
      </c>
      <c r="B18" s="64">
        <v>0.1</v>
      </c>
      <c r="C18" s="65">
        <v>1248727</v>
      </c>
      <c r="D18" s="65">
        <v>1692941</v>
      </c>
      <c r="F18" s="66" t="s">
        <v>85</v>
      </c>
      <c r="G18">
        <v>8</v>
      </c>
    </row>
    <row r="19" spans="1:7" x14ac:dyDescent="0.35">
      <c r="A19" s="67" t="s">
        <v>76</v>
      </c>
      <c r="B19" s="64">
        <v>0.1</v>
      </c>
      <c r="C19" s="65">
        <v>541424</v>
      </c>
      <c r="D19" s="65">
        <v>1509880</v>
      </c>
      <c r="F19" t="s">
        <v>75</v>
      </c>
      <c r="G19">
        <v>1</v>
      </c>
    </row>
    <row r="20" spans="1:7" x14ac:dyDescent="0.35">
      <c r="A20" s="67" t="s">
        <v>74</v>
      </c>
      <c r="B20" s="64">
        <v>0.1</v>
      </c>
      <c r="C20" s="65">
        <v>794469</v>
      </c>
      <c r="D20" s="65">
        <v>1116594</v>
      </c>
      <c r="F20" t="s">
        <v>77</v>
      </c>
      <c r="G20">
        <v>2</v>
      </c>
    </row>
    <row r="21" spans="1:7" x14ac:dyDescent="0.35">
      <c r="A21" s="67" t="s">
        <v>12</v>
      </c>
      <c r="B21" s="64">
        <v>0.1</v>
      </c>
      <c r="C21" s="65">
        <v>689971</v>
      </c>
      <c r="D21" s="65">
        <v>893923</v>
      </c>
      <c r="F21" t="s">
        <v>78</v>
      </c>
      <c r="G21">
        <v>0</v>
      </c>
    </row>
    <row r="22" spans="1:7" x14ac:dyDescent="0.35">
      <c r="A22" s="67" t="s">
        <v>4</v>
      </c>
      <c r="B22" s="64">
        <v>0.1</v>
      </c>
      <c r="C22" s="65">
        <v>561678</v>
      </c>
      <c r="D22" s="65">
        <v>768433</v>
      </c>
      <c r="F22" t="s">
        <v>47</v>
      </c>
      <c r="G22">
        <v>0</v>
      </c>
    </row>
    <row r="23" spans="1:7" x14ac:dyDescent="0.35">
      <c r="A23" s="67" t="s">
        <v>80</v>
      </c>
      <c r="B23" s="64">
        <v>0</v>
      </c>
      <c r="C23" s="65">
        <v>479297</v>
      </c>
      <c r="D23" s="65">
        <v>718427</v>
      </c>
    </row>
    <row r="24" spans="1:7" x14ac:dyDescent="0.35">
      <c r="A24" s="67" t="s">
        <v>79</v>
      </c>
      <c r="B24" s="64">
        <v>0.1</v>
      </c>
      <c r="C24" s="65">
        <v>426239</v>
      </c>
      <c r="D24" s="65">
        <v>683741</v>
      </c>
    </row>
    <row r="25" spans="1:7" x14ac:dyDescent="0.35">
      <c r="A25" s="67" t="s">
        <v>3</v>
      </c>
      <c r="B25" s="64">
        <v>0.1</v>
      </c>
      <c r="C25" s="65">
        <v>410608</v>
      </c>
      <c r="D25" s="65">
        <v>517813</v>
      </c>
      <c r="F25" s="69" t="s">
        <v>86</v>
      </c>
      <c r="G25" s="70">
        <v>3</v>
      </c>
    </row>
    <row r="26" spans="1:7" x14ac:dyDescent="0.35">
      <c r="A26" s="67" t="s">
        <v>81</v>
      </c>
      <c r="B26" s="64">
        <v>0.1</v>
      </c>
      <c r="C26" s="65">
        <v>198167</v>
      </c>
      <c r="D26" s="65">
        <v>317804</v>
      </c>
      <c r="F26" s="70" t="s">
        <v>87</v>
      </c>
      <c r="G26" s="70">
        <v>5</v>
      </c>
    </row>
    <row r="27" spans="1:7" x14ac:dyDescent="0.35">
      <c r="A27" s="67" t="s">
        <v>82</v>
      </c>
      <c r="B27" s="64">
        <v>0.1</v>
      </c>
      <c r="C27" s="65">
        <v>194207</v>
      </c>
      <c r="D27" s="65">
        <v>274675</v>
      </c>
      <c r="F27" s="70" t="s">
        <v>75</v>
      </c>
      <c r="G27" s="70">
        <v>1</v>
      </c>
    </row>
    <row r="28" spans="1:7" x14ac:dyDescent="0.35">
      <c r="A28" s="67" t="s">
        <v>83</v>
      </c>
      <c r="B28" s="64">
        <v>0.1</v>
      </c>
      <c r="C28" s="65">
        <v>141587</v>
      </c>
      <c r="D28" s="65">
        <v>178323</v>
      </c>
      <c r="F28" s="70" t="s">
        <v>77</v>
      </c>
      <c r="G28" s="70">
        <v>2</v>
      </c>
    </row>
    <row r="29" spans="1:7" x14ac:dyDescent="0.35">
      <c r="F29" s="70" t="s">
        <v>88</v>
      </c>
      <c r="G29" s="70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EBD9F73258B0C43AB69745B7FCAC156" ma:contentTypeVersion="18" ma:contentTypeDescription="Create a new document." ma:contentTypeScope="" ma:versionID="dbc5de88cfc8378d2917e91585831ce9">
  <xsd:schema xmlns:xsd="http://www.w3.org/2001/XMLSchema" xmlns:xs="http://www.w3.org/2001/XMLSchema" xmlns:p="http://schemas.microsoft.com/office/2006/metadata/properties" xmlns:ns2="df8bf540-37ef-4a94-8e99-fa6bb684d7a8" xmlns:ns3="2250b2cd-80fe-47a4-9534-3c5032a93e78" targetNamespace="http://schemas.microsoft.com/office/2006/metadata/properties" ma:root="true" ma:fieldsID="a021290a7c6dc814ba6c5f03f0a30528" ns2:_="" ns3:_="">
    <xsd:import namespace="df8bf540-37ef-4a94-8e99-fa6bb684d7a8"/>
    <xsd:import namespace="2250b2cd-80fe-47a4-9534-3c5032a93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bf540-37ef-4a94-8e99-fa6bb684d7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2c91762c-c6f8-4ccf-9739-3a2993485b9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50b2cd-80fe-47a4-9534-3c5032a93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c3754ca-fd1b-4174-8a52-b927b7a9efcb}" ma:internalName="TaxCatchAll" ma:showField="CatchAllData" ma:web="2250b2cd-80fe-47a4-9534-3c5032a93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f8bf540-37ef-4a94-8e99-fa6bb684d7a8">
      <Terms xmlns="http://schemas.microsoft.com/office/infopath/2007/PartnerControls"/>
    </lcf76f155ced4ddcb4097134ff3c332f>
    <TaxCatchAll xmlns="2250b2cd-80fe-47a4-9534-3c5032a93e78" xsi:nil="true"/>
  </documentManagement>
</p:properties>
</file>

<file path=customXml/itemProps1.xml><?xml version="1.0" encoding="utf-8"?>
<ds:datastoreItem xmlns:ds="http://schemas.openxmlformats.org/officeDocument/2006/customXml" ds:itemID="{0B68657E-EFBF-49F1-A722-F076F90331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736535-3FA0-4040-A9C6-BC3D71FC33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8bf540-37ef-4a94-8e99-fa6bb684d7a8"/>
    <ds:schemaRef ds:uri="2250b2cd-80fe-47a4-9534-3c5032a93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C4FABF3-ACB5-4BC0-B8E3-0233E397A5BB}">
  <ds:schemaRefs>
    <ds:schemaRef ds:uri="http://schemas.microsoft.com/office/2006/metadata/properties"/>
    <ds:schemaRef ds:uri="http://schemas.microsoft.com/office/infopath/2007/PartnerControls"/>
    <ds:schemaRef ds:uri="df8bf540-37ef-4a94-8e99-fa6bb684d7a8"/>
    <ds:schemaRef ds:uri="2250b2cd-80fe-47a4-9534-3c5032a93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List and Scoring</vt:lpstr>
      <vt:lpstr>Rubric</vt:lpstr>
      <vt:lpstr>List and Scoring (2)</vt:lpstr>
      <vt:lpstr>Rubric (2)</vt:lpstr>
      <vt:lpstr>List and Scoring (3)</vt:lpstr>
      <vt:lpstr>Rubric (3)</vt:lpstr>
      <vt:lpstr>Sheet1</vt:lpstr>
      <vt:lpstr>'List and Scoring'!Print_Area</vt:lpstr>
      <vt:lpstr>'List and Scoring (2)'!Print_Area</vt:lpstr>
      <vt:lpstr>'List and Scoring (3)'!Print_Area</vt:lpstr>
      <vt:lpstr>'List and Scoring'!Print_Titles</vt:lpstr>
      <vt:lpstr>'List and Scoring (2)'!Print_Titles</vt:lpstr>
      <vt:lpstr>'List and Scoring (3)'!Print_Titles</vt:lpstr>
    </vt:vector>
  </TitlesOfParts>
  <Company>Aurora Health Care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Gisch, Jacqueline</dc:creator>
  <cp:lastModifiedBy>Alyssa Neumann</cp:lastModifiedBy>
  <cp:lastPrinted>2022-05-27T18:46:08Z</cp:lastPrinted>
  <dcterms:created xsi:type="dcterms:W3CDTF">2017-07-13T12:23:16Z</dcterms:created>
  <dcterms:modified xsi:type="dcterms:W3CDTF">2025-07-07T18:38:27Z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0x0101001EBD9F73258B0C43AB69745B7FCAC156</vt:lpwstr>
  </property>
  <property fmtid="{D5CDD505-2E9C-101B-9397-08002B2CF9AE}" pid="3" name="MediaServiceImageTags">
    <vt:lpwstr/>
  </property>
</Properties>
</file>